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Financial\Reports\Treasurers\FY2022-2023\"/>
    </mc:Choice>
  </mc:AlternateContent>
  <xr:revisionPtr revIDLastSave="0" documentId="13_ncr:1_{7FE9A7DF-EB9E-4253-B579-B9B229B00BE2}" xr6:coauthVersionLast="46" xr6:coauthVersionMax="46" xr10:uidLastSave="{00000000-0000-0000-0000-000000000000}"/>
  <bookViews>
    <workbookView xWindow="-120" yWindow="-120" windowWidth="20640" windowHeight="11160" xr2:uid="{00000000-000D-0000-FFFF-FFFF00000000}"/>
  </bookViews>
  <sheets>
    <sheet name="Statement of Activity" sheetId="1" r:id="rId1"/>
    <sheet name="Statement of Activity YTD" sheetId="4" r:id="rId2"/>
    <sheet name="Statement of Financial Position" sheetId="3" r:id="rId3"/>
    <sheet name="Balance Sheet comparison" sheetId="5" r:id="rId4"/>
    <sheet name="Statement of Cash Flows" sheetId="6" r:id="rId5"/>
  </sheets>
  <calcPr calcId="191029"/>
</workbook>
</file>

<file path=xl/calcChain.xml><?xml version="1.0" encoding="utf-8"?>
<calcChain xmlns="http://schemas.openxmlformats.org/spreadsheetml/2006/main">
  <c r="B68" i="5" l="1"/>
  <c r="D68" i="5" s="1"/>
  <c r="B67" i="3"/>
  <c r="B41" i="4"/>
  <c r="B7" i="6"/>
  <c r="B9" i="6"/>
  <c r="B10" i="6"/>
  <c r="B11" i="6"/>
  <c r="B12" i="6"/>
  <c r="B16" i="6" s="1"/>
  <c r="B17" i="6" s="1"/>
  <c r="B22" i="6" s="1"/>
  <c r="B24" i="6" s="1"/>
  <c r="B13" i="6"/>
  <c r="B14" i="6"/>
  <c r="B15" i="6"/>
  <c r="B19" i="6"/>
  <c r="B20" i="6"/>
  <c r="B21" i="6"/>
  <c r="B23" i="6"/>
  <c r="B10" i="5"/>
  <c r="D10" i="5" s="1"/>
  <c r="C10" i="5"/>
  <c r="B11" i="5"/>
  <c r="B21" i="5" s="1"/>
  <c r="C11" i="5"/>
  <c r="B12" i="5"/>
  <c r="D12" i="5" s="1"/>
  <c r="C12" i="5"/>
  <c r="C21" i="5" s="1"/>
  <c r="C31" i="5" s="1"/>
  <c r="C44" i="5" s="1"/>
  <c r="B13" i="5"/>
  <c r="C13" i="5"/>
  <c r="D13" i="5"/>
  <c r="B14" i="5"/>
  <c r="C14" i="5"/>
  <c r="D14" i="5"/>
  <c r="B15" i="5"/>
  <c r="D15" i="5" s="1"/>
  <c r="C15" i="5"/>
  <c r="B16" i="5"/>
  <c r="D16" i="5" s="1"/>
  <c r="C16" i="5"/>
  <c r="B17" i="5"/>
  <c r="D17" i="5"/>
  <c r="B18" i="5"/>
  <c r="D18" i="5" s="1"/>
  <c r="C18" i="5"/>
  <c r="B19" i="5"/>
  <c r="C19" i="5"/>
  <c r="D19" i="5" s="1"/>
  <c r="B20" i="5"/>
  <c r="C20" i="5"/>
  <c r="D20" i="5"/>
  <c r="B23" i="5"/>
  <c r="B25" i="5" s="1"/>
  <c r="C23" i="5"/>
  <c r="B24" i="5"/>
  <c r="D24" i="5" s="1"/>
  <c r="C24" i="5"/>
  <c r="C25" i="5" s="1"/>
  <c r="B27" i="5"/>
  <c r="C27" i="5"/>
  <c r="D27" i="5"/>
  <c r="B28" i="5"/>
  <c r="D28" i="5" s="1"/>
  <c r="C28" i="5"/>
  <c r="B29" i="5"/>
  <c r="D29" i="5" s="1"/>
  <c r="C29" i="5"/>
  <c r="C30" i="5"/>
  <c r="B33" i="5"/>
  <c r="D33" i="5" s="1"/>
  <c r="C33" i="5"/>
  <c r="B34" i="5"/>
  <c r="D34" i="5" s="1"/>
  <c r="C34" i="5"/>
  <c r="C37" i="5" s="1"/>
  <c r="B35" i="5"/>
  <c r="C35" i="5"/>
  <c r="D35" i="5"/>
  <c r="B36" i="5"/>
  <c r="C36" i="5"/>
  <c r="D36" i="5"/>
  <c r="B37" i="5"/>
  <c r="D37" i="5" s="1"/>
  <c r="B39" i="5"/>
  <c r="D39" i="5" s="1"/>
  <c r="C39" i="5"/>
  <c r="B40" i="5"/>
  <c r="C40" i="5"/>
  <c r="D40" i="5"/>
  <c r="B41" i="5"/>
  <c r="D41" i="5" s="1"/>
  <c r="C41" i="5"/>
  <c r="B42" i="5"/>
  <c r="D42" i="5" s="1"/>
  <c r="C42" i="5"/>
  <c r="B43" i="5"/>
  <c r="D43" i="5" s="1"/>
  <c r="C43" i="5"/>
  <c r="B49" i="5"/>
  <c r="C49" i="5"/>
  <c r="D49" i="5"/>
  <c r="B50" i="5"/>
  <c r="D50" i="5" s="1"/>
  <c r="C50" i="5"/>
  <c r="B52" i="5"/>
  <c r="D52" i="5" s="1"/>
  <c r="C52" i="5"/>
  <c r="C59" i="5" s="1"/>
  <c r="C60" i="5" s="1"/>
  <c r="C64" i="5" s="1"/>
  <c r="B53" i="5"/>
  <c r="C53" i="5"/>
  <c r="D53" i="5"/>
  <c r="B54" i="5"/>
  <c r="D54" i="5" s="1"/>
  <c r="C54" i="5"/>
  <c r="B55" i="5"/>
  <c r="D55" i="5" s="1"/>
  <c r="C55" i="5"/>
  <c r="B56" i="5"/>
  <c r="D56" i="5" s="1"/>
  <c r="C56" i="5"/>
  <c r="B57" i="5"/>
  <c r="C57" i="5"/>
  <c r="D57" i="5"/>
  <c r="B58" i="5"/>
  <c r="C58" i="5"/>
  <c r="D58" i="5"/>
  <c r="B59" i="5"/>
  <c r="D59" i="5" s="1"/>
  <c r="B62" i="5"/>
  <c r="C62" i="5"/>
  <c r="C63" i="5" s="1"/>
  <c r="D62" i="5"/>
  <c r="B63" i="5"/>
  <c r="D63" i="5" s="1"/>
  <c r="B66" i="5"/>
  <c r="D66" i="5" s="1"/>
  <c r="C66" i="5"/>
  <c r="C69" i="5" s="1"/>
  <c r="B67" i="5"/>
  <c r="C67" i="5"/>
  <c r="D67" i="5"/>
  <c r="C68" i="5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5" i="4"/>
  <c r="B26" i="4"/>
  <c r="B27" i="4"/>
  <c r="B30" i="4"/>
  <c r="B32" i="4" s="1"/>
  <c r="B31" i="4"/>
  <c r="B33" i="4"/>
  <c r="B34" i="4"/>
  <c r="B35" i="4"/>
  <c r="B36" i="4"/>
  <c r="B38" i="4"/>
  <c r="B39" i="4"/>
  <c r="B40" i="4"/>
  <c r="B43" i="4"/>
  <c r="B44" i="4"/>
  <c r="B45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1" i="4" s="1"/>
  <c r="B90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9" i="3"/>
  <c r="B20" i="3" s="1"/>
  <c r="B10" i="3"/>
  <c r="B11" i="3"/>
  <c r="B12" i="3"/>
  <c r="B13" i="3"/>
  <c r="B14" i="3"/>
  <c r="B15" i="3"/>
  <c r="B16" i="3"/>
  <c r="B17" i="3"/>
  <c r="B18" i="3"/>
  <c r="B19" i="3"/>
  <c r="B22" i="3"/>
  <c r="B24" i="3" s="1"/>
  <c r="B23" i="3"/>
  <c r="B26" i="3"/>
  <c r="B29" i="3" s="1"/>
  <c r="B27" i="3"/>
  <c r="B28" i="3"/>
  <c r="B32" i="3"/>
  <c r="B33" i="3"/>
  <c r="B36" i="3" s="1"/>
  <c r="B34" i="3"/>
  <c r="B35" i="3"/>
  <c r="B38" i="3"/>
  <c r="B39" i="3"/>
  <c r="B40" i="3"/>
  <c r="B41" i="3"/>
  <c r="B42" i="3"/>
  <c r="B48" i="3"/>
  <c r="B49" i="3" s="1"/>
  <c r="B59" i="3" s="1"/>
  <c r="B63" i="3" s="1"/>
  <c r="B51" i="3"/>
  <c r="B52" i="3"/>
  <c r="B53" i="3"/>
  <c r="B54" i="3"/>
  <c r="B55" i="3"/>
  <c r="B58" i="3" s="1"/>
  <c r="B56" i="3"/>
  <c r="B57" i="3"/>
  <c r="B61" i="3"/>
  <c r="B62" i="3"/>
  <c r="B65" i="3"/>
  <c r="B66" i="3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4" i="1"/>
  <c r="B23" i="1"/>
  <c r="B20" i="1"/>
  <c r="B19" i="1"/>
  <c r="B17" i="1"/>
  <c r="B16" i="1"/>
  <c r="B15" i="1"/>
  <c r="B14" i="1"/>
  <c r="B13" i="1"/>
  <c r="B12" i="1"/>
  <c r="B11" i="1"/>
  <c r="B10" i="1"/>
  <c r="B9" i="1"/>
  <c r="B8" i="1"/>
  <c r="B7" i="1"/>
  <c r="B69" i="5" l="1"/>
  <c r="B68" i="3"/>
  <c r="B69" i="3" s="1"/>
  <c r="B28" i="4"/>
  <c r="B46" i="4" s="1"/>
  <c r="B37" i="4"/>
  <c r="D69" i="5"/>
  <c r="D21" i="5"/>
  <c r="C70" i="5"/>
  <c r="D25" i="5"/>
  <c r="B30" i="5"/>
  <c r="D30" i="5" s="1"/>
  <c r="D23" i="5"/>
  <c r="D11" i="5"/>
  <c r="B60" i="5"/>
  <c r="B119" i="4"/>
  <c r="B30" i="3"/>
  <c r="B43" i="3" s="1"/>
  <c r="B18" i="1"/>
  <c r="B21" i="1" s="1"/>
  <c r="B25" i="1" s="1"/>
  <c r="B70" i="1" s="1"/>
  <c r="B71" i="1" s="1"/>
  <c r="B120" i="4" l="1"/>
  <c r="B121" i="4" s="1"/>
  <c r="B31" i="5"/>
  <c r="B64" i="5"/>
  <c r="D60" i="5"/>
  <c r="B70" i="5" l="1"/>
  <c r="D70" i="5" s="1"/>
  <c r="D64" i="5"/>
  <c r="B44" i="5"/>
  <c r="D44" i="5" s="1"/>
  <c r="D31" i="5"/>
</calcChain>
</file>

<file path=xl/sharedStrings.xml><?xml version="1.0" encoding="utf-8"?>
<sst xmlns="http://schemas.openxmlformats.org/spreadsheetml/2006/main" count="353" uniqueCount="211">
  <si>
    <t>Total</t>
  </si>
  <si>
    <t>Revenue</t>
  </si>
  <si>
    <t xml:space="preserve">   4001 Individual</t>
  </si>
  <si>
    <t xml:space="preserve">   4010 Business Donation</t>
  </si>
  <si>
    <t xml:space="preserve">   4020 Foundation Donations</t>
  </si>
  <si>
    <t xml:space="preserve">   4070 United Way - Donations</t>
  </si>
  <si>
    <t xml:space="preserve">   4100 Grants</t>
  </si>
  <si>
    <t xml:space="preserve">   4120 HUD Reimbursements</t>
  </si>
  <si>
    <t xml:space="preserve">   4300 Misc. Income</t>
  </si>
  <si>
    <t xml:space="preserve">   4330 Bank Interest - Various Accts</t>
  </si>
  <si>
    <t xml:space="preserve">   4500 Boiler Building Rent</t>
  </si>
  <si>
    <t xml:space="preserve">   4800 Purses for Purpose</t>
  </si>
  <si>
    <t xml:space="preserve">      4805 Purses Donation</t>
  </si>
  <si>
    <t xml:space="preserve">   Total 4800 Purses for Purpose</t>
  </si>
  <si>
    <t xml:space="preserve">   4950 Program Fees</t>
  </si>
  <si>
    <t xml:space="preserve">   Unapplied Cash Payment Revenue</t>
  </si>
  <si>
    <t>Total Revenue</t>
  </si>
  <si>
    <t>Cost of Goods Sold</t>
  </si>
  <si>
    <t xml:space="preserve">   4895 COS-Purses for Purpose</t>
  </si>
  <si>
    <t>Total Cost of Goods Sold</t>
  </si>
  <si>
    <t>Gross Profit</t>
  </si>
  <si>
    <t>Expenditures</t>
  </si>
  <si>
    <t xml:space="preserve">   7035 Internet</t>
  </si>
  <si>
    <t xml:space="preserve">   7040 Bank Service Chgrs</t>
  </si>
  <si>
    <t xml:space="preserve">   7045 Office Equipment</t>
  </si>
  <si>
    <t xml:space="preserve">   7050 Office Supplies</t>
  </si>
  <si>
    <t xml:space="preserve">   7055 Telephone Expense</t>
  </si>
  <si>
    <t xml:space="preserve">   7060 Postage/Delivery</t>
  </si>
  <si>
    <t xml:space="preserve">   7075 Software Maintenance/Support</t>
  </si>
  <si>
    <t xml:space="preserve">   7080 Staff Recoginition</t>
  </si>
  <si>
    <t xml:space="preserve">   7085 Staff Recruitment</t>
  </si>
  <si>
    <t xml:space="preserve">   7090 Technical Support</t>
  </si>
  <si>
    <t xml:space="preserve">   7110 Audit</t>
  </si>
  <si>
    <t xml:space="preserve">   7170 Payroll Service</t>
  </si>
  <si>
    <t xml:space="preserve">   7190 Staff Conference/Seminar</t>
  </si>
  <si>
    <t xml:space="preserve">   7210 Apartment Cleaning Services</t>
  </si>
  <si>
    <t xml:space="preserve">   7225 Cleaning Supplies</t>
  </si>
  <si>
    <t xml:space="preserve">   7230 Electricity</t>
  </si>
  <si>
    <t xml:space="preserve">   7247 Snow Removal</t>
  </si>
  <si>
    <t xml:space="preserve">   7250 Maintenance Supplies</t>
  </si>
  <si>
    <t xml:space="preserve">   7255 Natural Gas</t>
  </si>
  <si>
    <t xml:space="preserve">   7265 Rent-Benedictine Place</t>
  </si>
  <si>
    <t xml:space="preserve">   7270 Sewage</t>
  </si>
  <si>
    <t xml:space="preserve">   7280 Water</t>
  </si>
  <si>
    <t xml:space="preserve">   7295 Security</t>
  </si>
  <si>
    <t xml:space="preserve">   7315 Client Expense</t>
  </si>
  <si>
    <t xml:space="preserve">   7330 Equipment-Prog staff</t>
  </si>
  <si>
    <t xml:space="preserve">   7333 Food &amp; Beverage Exp</t>
  </si>
  <si>
    <t xml:space="preserve">   7336 Food &amp; Perishables-PP</t>
  </si>
  <si>
    <t xml:space="preserve">   7345 Internet-Program</t>
  </si>
  <si>
    <t xml:space="preserve">   7373 Program Outcome</t>
  </si>
  <si>
    <t xml:space="preserve">   7376 Program Supplies</t>
  </si>
  <si>
    <t xml:space="preserve">   7385 Staff Auto Allow.-mileage/park</t>
  </si>
  <si>
    <t xml:space="preserve">   7388 Storage/Shredding</t>
  </si>
  <si>
    <t xml:space="preserve">   7394 Telephone - Programming</t>
  </si>
  <si>
    <t xml:space="preserve">   7530 Fundraising</t>
  </si>
  <si>
    <t xml:space="preserve">   7540 Medical Insurance</t>
  </si>
  <si>
    <t xml:space="preserve">   7541 Vision &amp; Dental Insurance</t>
  </si>
  <si>
    <t xml:space="preserve">   7542 Life Insurance</t>
  </si>
  <si>
    <t xml:space="preserve">   7550 403 B Retirement</t>
  </si>
  <si>
    <t xml:space="preserve">   7570 Salaries</t>
  </si>
  <si>
    <t xml:space="preserve">   7571 Consulting Fees</t>
  </si>
  <si>
    <t xml:space="preserve">   7575 FICA Employer</t>
  </si>
  <si>
    <t xml:space="preserve">   7582 Other Tax Expense</t>
  </si>
  <si>
    <t xml:space="preserve">   Unapplied Cash Bill Payment Expenditure</t>
  </si>
  <si>
    <t>Total Expenditures</t>
  </si>
  <si>
    <t>Net Operating Revenue</t>
  </si>
  <si>
    <t>Net Revenue</t>
  </si>
  <si>
    <t>HEARTH</t>
  </si>
  <si>
    <t>Statement of Activity</t>
  </si>
  <si>
    <t>February 2023</t>
  </si>
  <si>
    <t>TOTAL LIABILITIES AND EQUITY</t>
  </si>
  <si>
    <t xml:space="preserve">   Total Equity</t>
  </si>
  <si>
    <t xml:space="preserve">      Net Revenue</t>
  </si>
  <si>
    <t xml:space="preserve">      32000 Unrestricted Net Assets</t>
  </si>
  <si>
    <t xml:space="preserve">      3000 Retained Earnings</t>
  </si>
  <si>
    <t xml:space="preserve">   Equity</t>
  </si>
  <si>
    <t xml:space="preserve">   Total Liabilities</t>
  </si>
  <si>
    <t xml:space="preserve">      Total Long-Term Liabilities</t>
  </si>
  <si>
    <t xml:space="preserve">         2030 PPP SBA LOAN</t>
  </si>
  <si>
    <t xml:space="preserve">      Long-Term Liabilities</t>
  </si>
  <si>
    <t xml:space="preserve">      Total Current Liabilities</t>
  </si>
  <si>
    <t xml:space="preserve">         Total Other Current Liabilities</t>
  </si>
  <si>
    <t xml:space="preserve">            2120 403b Contributions</t>
  </si>
  <si>
    <t xml:space="preserve">            2020 Sales tax payable</t>
  </si>
  <si>
    <t xml:space="preserve">            2017 Deferred Rev.-Purses</t>
  </si>
  <si>
    <t xml:space="preserve">            2015 Deferred revenue W&amp;F</t>
  </si>
  <si>
    <t xml:space="preserve">            2013 Deferred Revenue</t>
  </si>
  <si>
    <t xml:space="preserve">            2010 Payroll Liabilities</t>
  </si>
  <si>
    <t xml:space="preserve">            1340 Security Deposits</t>
  </si>
  <si>
    <t xml:space="preserve">         Other Current Liabilities</t>
  </si>
  <si>
    <t xml:space="preserve">         Total Accounts Payable</t>
  </si>
  <si>
    <t xml:space="preserve">            2000 Accounts Payable</t>
  </si>
  <si>
    <t xml:space="preserve">         Accounts Payable</t>
  </si>
  <si>
    <t xml:space="preserve">      Current Liabilities</t>
  </si>
  <si>
    <t xml:space="preserve">   Liabilities</t>
  </si>
  <si>
    <t>LIABILITIES AND EQUITY</t>
  </si>
  <si>
    <t>TOTAL ASSETS</t>
  </si>
  <si>
    <t xml:space="preserve">   Total Other Assets</t>
  </si>
  <si>
    <t xml:space="preserve">      1950 Noncurrent Accrued Interest Income</t>
  </si>
  <si>
    <t xml:space="preserve">      1900 Noncurrent Note Receivable</t>
  </si>
  <si>
    <t xml:space="preserve">      1800 Investment In Partnership</t>
  </si>
  <si>
    <t xml:space="preserve">      1700 Allegheny Investments</t>
  </si>
  <si>
    <t xml:space="preserve">   Other Assets</t>
  </si>
  <si>
    <t xml:space="preserve">   Total Fixed Assets</t>
  </si>
  <si>
    <t xml:space="preserve">      1680 Accumulated Depreciation</t>
  </si>
  <si>
    <t xml:space="preserve">      1620 Furnishings</t>
  </si>
  <si>
    <t xml:space="preserve">      1610 Mt. Royal Property</t>
  </si>
  <si>
    <t xml:space="preserve">      1600 Capital Equipment</t>
  </si>
  <si>
    <t xml:space="preserve">   Fixed Assets</t>
  </si>
  <si>
    <t xml:space="preserve">   Total Current Assets</t>
  </si>
  <si>
    <t xml:space="preserve">      Total Other Current Assets</t>
  </si>
  <si>
    <t xml:space="preserve">         Uncategorized Asset</t>
  </si>
  <si>
    <t xml:space="preserve">         1320 Prepaid Expenses</t>
  </si>
  <si>
    <t xml:space="preserve">         1200 Undeposited Funds</t>
  </si>
  <si>
    <t xml:space="preserve">      Other Current Assets</t>
  </si>
  <si>
    <t xml:space="preserve">      Total Accounts Receivable</t>
  </si>
  <si>
    <t xml:space="preserve">         1410 Accrued Interest Rec. on Note</t>
  </si>
  <si>
    <t xml:space="preserve">         1100 Accounts Receivable</t>
  </si>
  <si>
    <t xml:space="preserve">      Accounts Receivable</t>
  </si>
  <si>
    <t xml:space="preserve">      Total Bank Accounts</t>
  </si>
  <si>
    <t xml:space="preserve">         1055 FNB 9679 - HSA</t>
  </si>
  <si>
    <t xml:space="preserve">         1052 S &amp; T Bank Money Market #8622</t>
  </si>
  <si>
    <t xml:space="preserve">         1051 PNC MM 3991</t>
  </si>
  <si>
    <t xml:space="preserve">         1045 Fidelity Investments</t>
  </si>
  <si>
    <t xml:space="preserve">         1041 Omega F.C.U #525 CD</t>
  </si>
  <si>
    <t xml:space="preserve">         1040 TriState Cap.-Money Market  #0607</t>
  </si>
  <si>
    <t xml:space="preserve">         1030 FNB-Money Mkt #6783</t>
  </si>
  <si>
    <t xml:space="preserve">         1025 Standard Bank # 8408</t>
  </si>
  <si>
    <t xml:space="preserve">         1020 Citizens Money Market #235-3</t>
  </si>
  <si>
    <t xml:space="preserve">         1015 FNB- Cap. Camp. #7427</t>
  </si>
  <si>
    <t xml:space="preserve">         1010 FNB - Checking     #5258</t>
  </si>
  <si>
    <t xml:space="preserve">      Bank Accounts</t>
  </si>
  <si>
    <t xml:space="preserve">   Current Assets</t>
  </si>
  <si>
    <t>ASSETS</t>
  </si>
  <si>
    <t>As of February 28, 2023</t>
  </si>
  <si>
    <t>Statement of Financial Position</t>
  </si>
  <si>
    <t xml:space="preserve">   7590 Workers' Comp Insurance</t>
  </si>
  <si>
    <t xml:space="preserve">   7585 PA SUI-Employer</t>
  </si>
  <si>
    <t xml:space="preserve">   7580 Medicare-Employer</t>
  </si>
  <si>
    <t xml:space="preserve">   7369 Professional Liability Ins.</t>
  </si>
  <si>
    <t xml:space="preserve">   7366 Printing/Copying-Program</t>
  </si>
  <si>
    <t xml:space="preserve">   7341 Image Marketing</t>
  </si>
  <si>
    <t xml:space="preserve">   7324 Client Education Fees/Tuition</t>
  </si>
  <si>
    <t xml:space="preserve">   7318-53 Expressions in Harmony Grant</t>
  </si>
  <si>
    <t xml:space="preserve">   Total 7318 Client Expenses - RESTRICTED</t>
  </si>
  <si>
    <t xml:space="preserve">      7318-48 Closet &amp; Clothing Pantry</t>
  </si>
  <si>
    <t xml:space="preserve">   7318 Client Expenses - RESTRICTED</t>
  </si>
  <si>
    <t xml:space="preserve">   7309 Clearances Act 33 &amp; 34</t>
  </si>
  <si>
    <t xml:space="preserve">   7306 Auto Lease/Insurance/Gas</t>
  </si>
  <si>
    <t xml:space="preserve">   7303 Apt Equip &amp; Supplies</t>
  </si>
  <si>
    <t xml:space="preserve">   7275 Trash Removal</t>
  </si>
  <si>
    <t xml:space="preserve">   7246 Up Keep - Grounds</t>
  </si>
  <si>
    <t xml:space="preserve">   7245 Maintenance Labor</t>
  </si>
  <si>
    <t xml:space="preserve">   7235 Exterminating</t>
  </si>
  <si>
    <t xml:space="preserve">   7220 Janitorial Services</t>
  </si>
  <si>
    <t xml:space="preserve">   7217 Building Reserve</t>
  </si>
  <si>
    <t xml:space="preserve">   7215 Building Insurance</t>
  </si>
  <si>
    <t xml:space="preserve">   7212 Real Estate Tax</t>
  </si>
  <si>
    <t xml:space="preserve">   7140 Charitable Registration</t>
  </si>
  <si>
    <t xml:space="preserve">   7065 Printing/Copying</t>
  </si>
  <si>
    <t xml:space="preserve">   7030 Equipment Maint/Repair</t>
  </si>
  <si>
    <t xml:space="preserve">   7025 Memberships/Educ. Material</t>
  </si>
  <si>
    <t xml:space="preserve">   7020 Donor/Volunteer Relations</t>
  </si>
  <si>
    <t xml:space="preserve">   7010 Board Development</t>
  </si>
  <si>
    <t xml:space="preserve">   4690 COS-Wine &amp; Food</t>
  </si>
  <si>
    <t xml:space="preserve">   Sales</t>
  </si>
  <si>
    <t xml:space="preserve">      4815 Purses Sponsor</t>
  </si>
  <si>
    <t xml:space="preserve">      4810 Purses for Purpose-Tickets</t>
  </si>
  <si>
    <t xml:space="preserve">   Total 4700 Golf-Parent acct</t>
  </si>
  <si>
    <t xml:space="preserve">      4790 Golf Expenses</t>
  </si>
  <si>
    <t xml:space="preserve">      4750 Golf Donations</t>
  </si>
  <si>
    <t xml:space="preserve">   4700 Golf-Parent acct</t>
  </si>
  <si>
    <t xml:space="preserve">   Total 4600 Wine &amp; Food</t>
  </si>
  <si>
    <t xml:space="preserve">      4620 Wine &amp; Food Sponsors</t>
  </si>
  <si>
    <t xml:space="preserve">      4615 Wine &amp; Food Donations</t>
  </si>
  <si>
    <t xml:space="preserve">      4610 Wine &amp; Food Tickets</t>
  </si>
  <si>
    <t xml:space="preserve">   4600 Wine &amp; Food</t>
  </si>
  <si>
    <t xml:space="preserve">   4480 YPB Events/Fundraising</t>
  </si>
  <si>
    <t xml:space="preserve">   4460 3rd Party Events</t>
  </si>
  <si>
    <t xml:space="preserve">   4310 Laundry money</t>
  </si>
  <si>
    <t xml:space="preserve">   4220 Late &amp; Other Fees</t>
  </si>
  <si>
    <t xml:space="preserve">   4140 State Grants</t>
  </si>
  <si>
    <t xml:space="preserve">   4050 Religious Organizations - Donations</t>
  </si>
  <si>
    <t xml:space="preserve">   4030 Organizations - Donations</t>
  </si>
  <si>
    <t xml:space="preserve">   4021 Foundations - Rest. Funds</t>
  </si>
  <si>
    <t>July 2022 - February 2023</t>
  </si>
  <si>
    <t>Change</t>
  </si>
  <si>
    <t>As of Feb 28, 2022 (PP)</t>
  </si>
  <si>
    <t>As of Feb 28, 2023</t>
  </si>
  <si>
    <t>Monday, Mar 13, 2023 09:31:35 AM GMT-7</t>
  </si>
  <si>
    <t>Cash at end of period</t>
  </si>
  <si>
    <t>Cash at beginning of period</t>
  </si>
  <si>
    <t>Net cash increase for period</t>
  </si>
  <si>
    <t>Net cash provided by investing activities</t>
  </si>
  <si>
    <t xml:space="preserve">   1620 Furnishings</t>
  </si>
  <si>
    <t xml:space="preserve">   1600 Capital Equipment</t>
  </si>
  <si>
    <t>INVESTING ACTIVITIES</t>
  </si>
  <si>
    <t>Net cash provided by operating activities</t>
  </si>
  <si>
    <t xml:space="preserve">   Total Adjustments to reconcile Net Revenue to Net Cash provided by operations:</t>
  </si>
  <si>
    <t xml:space="preserve">      2120 403b Contributions</t>
  </si>
  <si>
    <t xml:space="preserve">      2015 Deferred revenue W&amp;F</t>
  </si>
  <si>
    <t xml:space="preserve">      2010 Payroll Liabilities</t>
  </si>
  <si>
    <t xml:space="preserve">      1340 Security Deposits</t>
  </si>
  <si>
    <t xml:space="preserve">      2000 Accounts Payable</t>
  </si>
  <si>
    <t xml:space="preserve">      Uncategorized Asset</t>
  </si>
  <si>
    <t xml:space="preserve">      1100 Accounts Receivable</t>
  </si>
  <si>
    <t xml:space="preserve">   Adjustments to reconcile Net Revenue to Net Cash provided by operations:</t>
  </si>
  <si>
    <t xml:space="preserve">   Net Revenue</t>
  </si>
  <si>
    <t>OPERATING ACTIVITIES</t>
  </si>
  <si>
    <t>Statement of Cash Flows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</si>
</sst>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&quot;$&quot;* #,##0.00\ _€"/>
  </numFmts>
  <fonts count="6" x14ac:knownFonts="1">
    <font>
      <sz val="11"/>
      <color indexed="8"/>
      <name val="Calibri"/>
      <family val="2"/>
      <scheme val="minor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0" fontId="2" fillId="0" borderId="0" xfId="0" applyFont="1"/>
    <xf numFmtId="164" fontId="3" fillId="0" borderId="0" xfId="0" applyNumberFormat="1" applyFont="1"/>
    <xf numFmtId="165" fontId="2" fillId="0" borderId="2" xfId="0" applyNumberFormat="1" applyFont="1" applyBorder="1"/>
    <xf numFmtId="165" fontId="2" fillId="0" borderId="3" xfId="0" applyNumberFormat="1" applyFont="1" applyBorder="1"/>
    <xf numFmtId="165" fontId="2" fillId="2" borderId="2" xfId="0" applyNumberFormat="1" applyFont="1" applyFill="1" applyBorder="1"/>
    <xf numFmtId="165" fontId="2" fillId="2" borderId="3" xfId="0" applyNumberFormat="1" applyFont="1" applyFill="1" applyBorder="1"/>
    <xf numFmtId="165" fontId="2" fillId="0" borderId="3" xfId="0" applyNumberFormat="1" applyFont="1" applyBorder="1" applyAlignment="1">
      <alignment vertical="center"/>
    </xf>
    <xf numFmtId="0" fontId="3" fillId="0" borderId="0" xfId="0" applyFont="1"/>
    <xf numFmtId="0" fontId="0" fillId="0" borderId="0" xfId="0"/>
    <xf numFmtId="0" fontId="4" fillId="0" borderId="0" xfId="0" applyFont="1"/>
    <xf numFmtId="0" fontId="5" fillId="0" borderId="0" xfId="0" applyFont="1"/>
    <xf numFmtId="0" fontId="1" fillId="0" borderId="1" xfId="0" applyFont="1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5"/>
  <sheetViews>
    <sheetView tabSelected="1" topLeftCell="A52" workbookViewId="0">
      <selection activeCell="C64" sqref="C64"/>
    </sheetView>
  </sheetViews>
  <sheetFormatPr defaultRowHeight="15" x14ac:dyDescent="0.25"/>
  <cols>
    <col min="1" max="1" width="37" customWidth="1"/>
    <col min="2" max="2" width="18.85546875" customWidth="1"/>
  </cols>
  <sheetData>
    <row r="1" spans="1:2" ht="18" x14ac:dyDescent="0.25">
      <c r="A1" s="14" t="s">
        <v>68</v>
      </c>
      <c r="B1" s="14"/>
    </row>
    <row r="2" spans="1:2" ht="18" x14ac:dyDescent="0.25">
      <c r="A2" s="14" t="s">
        <v>69</v>
      </c>
      <c r="B2" s="14"/>
    </row>
    <row r="3" spans="1:2" x14ac:dyDescent="0.25">
      <c r="A3" s="15" t="s">
        <v>70</v>
      </c>
      <c r="B3" s="15"/>
    </row>
    <row r="5" spans="1:2" x14ac:dyDescent="0.25">
      <c r="B5" s="1" t="s">
        <v>0</v>
      </c>
    </row>
    <row r="6" spans="1:2" x14ac:dyDescent="0.25">
      <c r="A6" s="2" t="s">
        <v>1</v>
      </c>
      <c r="B6" s="3"/>
    </row>
    <row r="7" spans="1:2" x14ac:dyDescent="0.25">
      <c r="A7" s="2" t="s">
        <v>2</v>
      </c>
      <c r="B7" s="3">
        <f>8603.89</f>
        <v>8603.89</v>
      </c>
    </row>
    <row r="8" spans="1:2" x14ac:dyDescent="0.25">
      <c r="A8" s="2" t="s">
        <v>3</v>
      </c>
      <c r="B8" s="3">
        <f>128.53</f>
        <v>128.53</v>
      </c>
    </row>
    <row r="9" spans="1:2" x14ac:dyDescent="0.25">
      <c r="A9" s="2" t="s">
        <v>4</v>
      </c>
      <c r="B9" s="3">
        <f>500</f>
        <v>500</v>
      </c>
    </row>
    <row r="10" spans="1:2" x14ac:dyDescent="0.25">
      <c r="A10" s="2" t="s">
        <v>5</v>
      </c>
      <c r="B10" s="3">
        <f>873.8</f>
        <v>873.8</v>
      </c>
    </row>
    <row r="11" spans="1:2" x14ac:dyDescent="0.25">
      <c r="A11" s="2" t="s">
        <v>6</v>
      </c>
      <c r="B11" s="3">
        <f>10000</f>
        <v>10000</v>
      </c>
    </row>
    <row r="12" spans="1:2" x14ac:dyDescent="0.25">
      <c r="A12" s="2" t="s">
        <v>7</v>
      </c>
      <c r="B12" s="3">
        <f>228</f>
        <v>228</v>
      </c>
    </row>
    <row r="13" spans="1:2" x14ac:dyDescent="0.25">
      <c r="A13" s="2" t="s">
        <v>8</v>
      </c>
      <c r="B13" s="3">
        <f>34394.47</f>
        <v>34394.47</v>
      </c>
    </row>
    <row r="14" spans="1:2" x14ac:dyDescent="0.25">
      <c r="A14" s="2" t="s">
        <v>9</v>
      </c>
      <c r="B14" s="3">
        <f>3497.34</f>
        <v>3497.34</v>
      </c>
    </row>
    <row r="15" spans="1:2" x14ac:dyDescent="0.25">
      <c r="A15" s="2" t="s">
        <v>10</v>
      </c>
      <c r="B15" s="3">
        <f>2566</f>
        <v>2566</v>
      </c>
    </row>
    <row r="16" spans="1:2" x14ac:dyDescent="0.25">
      <c r="A16" s="2" t="s">
        <v>11</v>
      </c>
      <c r="B16" s="3">
        <f>18323.52</f>
        <v>18323.52</v>
      </c>
    </row>
    <row r="17" spans="1:2" x14ac:dyDescent="0.25">
      <c r="A17" s="2" t="s">
        <v>12</v>
      </c>
      <c r="B17" s="3">
        <f>3214.87</f>
        <v>3214.87</v>
      </c>
    </row>
    <row r="18" spans="1:2" x14ac:dyDescent="0.25">
      <c r="A18" s="2" t="s">
        <v>13</v>
      </c>
      <c r="B18" s="4">
        <f>(B16)+(B17)</f>
        <v>21538.39</v>
      </c>
    </row>
    <row r="19" spans="1:2" x14ac:dyDescent="0.25">
      <c r="A19" s="2" t="s">
        <v>14</v>
      </c>
      <c r="B19" s="3">
        <f>2069.18</f>
        <v>2069.1799999999998</v>
      </c>
    </row>
    <row r="20" spans="1:2" x14ac:dyDescent="0.25">
      <c r="A20" s="2" t="s">
        <v>15</v>
      </c>
      <c r="B20" s="3">
        <f>30</f>
        <v>30</v>
      </c>
    </row>
    <row r="21" spans="1:2" x14ac:dyDescent="0.25">
      <c r="A21" s="2" t="s">
        <v>16</v>
      </c>
      <c r="B21" s="4">
        <f>(((((((((((B7)+(B8))+(B9))+(B10))+(B11))+(B12))+(B13))+(B14))+(B15))+(B18))+(B19))+(B20)</f>
        <v>84429.599999999991</v>
      </c>
    </row>
    <row r="22" spans="1:2" x14ac:dyDescent="0.25">
      <c r="A22" s="2" t="s">
        <v>17</v>
      </c>
      <c r="B22" s="3"/>
    </row>
    <row r="23" spans="1:2" x14ac:dyDescent="0.25">
      <c r="A23" s="2" t="s">
        <v>18</v>
      </c>
      <c r="B23" s="3">
        <f>19616.57</f>
        <v>19616.57</v>
      </c>
    </row>
    <row r="24" spans="1:2" x14ac:dyDescent="0.25">
      <c r="A24" s="2" t="s">
        <v>19</v>
      </c>
      <c r="B24" s="4">
        <f>B23</f>
        <v>19616.57</v>
      </c>
    </row>
    <row r="25" spans="1:2" x14ac:dyDescent="0.25">
      <c r="A25" s="2" t="s">
        <v>20</v>
      </c>
      <c r="B25" s="6">
        <f>(B21)-(B24)</f>
        <v>64813.029999999992</v>
      </c>
    </row>
    <row r="26" spans="1:2" x14ac:dyDescent="0.25">
      <c r="A26" s="2" t="s">
        <v>21</v>
      </c>
      <c r="B26" s="3"/>
    </row>
    <row r="27" spans="1:2" x14ac:dyDescent="0.25">
      <c r="A27" s="2" t="s">
        <v>22</v>
      </c>
      <c r="B27" s="3">
        <f>73.46</f>
        <v>73.459999999999994</v>
      </c>
    </row>
    <row r="28" spans="1:2" x14ac:dyDescent="0.25">
      <c r="A28" s="2" t="s">
        <v>23</v>
      </c>
      <c r="B28" s="3">
        <f>174.62</f>
        <v>174.62</v>
      </c>
    </row>
    <row r="29" spans="1:2" x14ac:dyDescent="0.25">
      <c r="A29" s="2" t="s">
        <v>24</v>
      </c>
      <c r="B29" s="3">
        <f>1075</f>
        <v>1075</v>
      </c>
    </row>
    <row r="30" spans="1:2" x14ac:dyDescent="0.25">
      <c r="A30" s="2" t="s">
        <v>25</v>
      </c>
      <c r="B30" s="3">
        <f>134.22</f>
        <v>134.22</v>
      </c>
    </row>
    <row r="31" spans="1:2" x14ac:dyDescent="0.25">
      <c r="A31" s="2" t="s">
        <v>26</v>
      </c>
      <c r="B31" s="3">
        <f>684.04</f>
        <v>684.04</v>
      </c>
    </row>
    <row r="32" spans="1:2" x14ac:dyDescent="0.25">
      <c r="A32" s="2" t="s">
        <v>27</v>
      </c>
      <c r="B32" s="3">
        <f>102.9</f>
        <v>102.9</v>
      </c>
    </row>
    <row r="33" spans="1:2" x14ac:dyDescent="0.25">
      <c r="A33" s="2" t="s">
        <v>28</v>
      </c>
      <c r="B33" s="3">
        <f>356.96</f>
        <v>356.96</v>
      </c>
    </row>
    <row r="34" spans="1:2" x14ac:dyDescent="0.25">
      <c r="A34" s="2" t="s">
        <v>29</v>
      </c>
      <c r="B34" s="3">
        <f>880.8</f>
        <v>880.8</v>
      </c>
    </row>
    <row r="35" spans="1:2" x14ac:dyDescent="0.25">
      <c r="A35" s="2" t="s">
        <v>30</v>
      </c>
      <c r="B35" s="3">
        <f>150</f>
        <v>150</v>
      </c>
    </row>
    <row r="36" spans="1:2" x14ac:dyDescent="0.25">
      <c r="A36" s="2" t="s">
        <v>31</v>
      </c>
      <c r="B36" s="3">
        <f>680</f>
        <v>680</v>
      </c>
    </row>
    <row r="37" spans="1:2" x14ac:dyDescent="0.25">
      <c r="A37" s="2" t="s">
        <v>32</v>
      </c>
      <c r="B37" s="3">
        <f>5000</f>
        <v>5000</v>
      </c>
    </row>
    <row r="38" spans="1:2" x14ac:dyDescent="0.25">
      <c r="A38" s="2" t="s">
        <v>33</v>
      </c>
      <c r="B38" s="3">
        <f>192</f>
        <v>192</v>
      </c>
    </row>
    <row r="39" spans="1:2" x14ac:dyDescent="0.25">
      <c r="A39" s="2" t="s">
        <v>34</v>
      </c>
      <c r="B39" s="3">
        <f>15</f>
        <v>15</v>
      </c>
    </row>
    <row r="40" spans="1:2" x14ac:dyDescent="0.25">
      <c r="A40" s="2" t="s">
        <v>35</v>
      </c>
      <c r="B40" s="3">
        <f>459.31</f>
        <v>459.31</v>
      </c>
    </row>
    <row r="41" spans="1:2" x14ac:dyDescent="0.25">
      <c r="A41" s="2" t="s">
        <v>36</v>
      </c>
      <c r="B41" s="3">
        <f>192.83</f>
        <v>192.83</v>
      </c>
    </row>
    <row r="42" spans="1:2" x14ac:dyDescent="0.25">
      <c r="A42" s="2" t="s">
        <v>37</v>
      </c>
      <c r="B42" s="3">
        <f>2062.47</f>
        <v>2062.4699999999998</v>
      </c>
    </row>
    <row r="43" spans="1:2" x14ac:dyDescent="0.25">
      <c r="A43" s="2" t="s">
        <v>38</v>
      </c>
      <c r="B43" s="3">
        <f>3395.65</f>
        <v>3395.65</v>
      </c>
    </row>
    <row r="44" spans="1:2" x14ac:dyDescent="0.25">
      <c r="A44" s="2" t="s">
        <v>39</v>
      </c>
      <c r="B44" s="3">
        <f>355.9</f>
        <v>355.9</v>
      </c>
    </row>
    <row r="45" spans="1:2" x14ac:dyDescent="0.25">
      <c r="A45" s="2" t="s">
        <v>40</v>
      </c>
      <c r="B45" s="3">
        <f>1827.68</f>
        <v>1827.68</v>
      </c>
    </row>
    <row r="46" spans="1:2" x14ac:dyDescent="0.25">
      <c r="A46" s="2" t="s">
        <v>41</v>
      </c>
      <c r="B46" s="3">
        <v>20191</v>
      </c>
    </row>
    <row r="47" spans="1:2" x14ac:dyDescent="0.25">
      <c r="A47" s="2" t="s">
        <v>42</v>
      </c>
      <c r="B47" s="3">
        <f>719.16</f>
        <v>719.16</v>
      </c>
    </row>
    <row r="48" spans="1:2" x14ac:dyDescent="0.25">
      <c r="A48" s="2" t="s">
        <v>43</v>
      </c>
      <c r="B48" s="3">
        <f>634.65</f>
        <v>634.65</v>
      </c>
    </row>
    <row r="49" spans="1:2" x14ac:dyDescent="0.25">
      <c r="A49" s="2" t="s">
        <v>44</v>
      </c>
      <c r="B49" s="3">
        <f>37.08</f>
        <v>37.08</v>
      </c>
    </row>
    <row r="50" spans="1:2" x14ac:dyDescent="0.25">
      <c r="A50" s="2" t="s">
        <v>45</v>
      </c>
      <c r="B50" s="3">
        <f>304</f>
        <v>304</v>
      </c>
    </row>
    <row r="51" spans="1:2" x14ac:dyDescent="0.25">
      <c r="A51" s="2" t="s">
        <v>46</v>
      </c>
      <c r="B51" s="3">
        <f>1075</f>
        <v>1075</v>
      </c>
    </row>
    <row r="52" spans="1:2" x14ac:dyDescent="0.25">
      <c r="A52" s="2" t="s">
        <v>47</v>
      </c>
      <c r="B52" s="3">
        <f>403.23</f>
        <v>403.23</v>
      </c>
    </row>
    <row r="53" spans="1:2" x14ac:dyDescent="0.25">
      <c r="A53" s="2" t="s">
        <v>48</v>
      </c>
      <c r="B53" s="3">
        <f>50</f>
        <v>50</v>
      </c>
    </row>
    <row r="54" spans="1:2" x14ac:dyDescent="0.25">
      <c r="A54" s="2" t="s">
        <v>49</v>
      </c>
      <c r="B54" s="3">
        <f>111.46</f>
        <v>111.46</v>
      </c>
    </row>
    <row r="55" spans="1:2" x14ac:dyDescent="0.25">
      <c r="A55" s="2" t="s">
        <v>50</v>
      </c>
      <c r="B55" s="3">
        <f>25</f>
        <v>25</v>
      </c>
    </row>
    <row r="56" spans="1:2" x14ac:dyDescent="0.25">
      <c r="A56" s="2" t="s">
        <v>51</v>
      </c>
      <c r="B56" s="3">
        <f>25</f>
        <v>25</v>
      </c>
    </row>
    <row r="57" spans="1:2" x14ac:dyDescent="0.25">
      <c r="A57" s="2" t="s">
        <v>52</v>
      </c>
      <c r="B57" s="3">
        <f>14.24</f>
        <v>14.24</v>
      </c>
    </row>
    <row r="58" spans="1:2" x14ac:dyDescent="0.25">
      <c r="A58" s="2" t="s">
        <v>53</v>
      </c>
      <c r="B58" s="3">
        <f>532.25</f>
        <v>532.25</v>
      </c>
    </row>
    <row r="59" spans="1:2" x14ac:dyDescent="0.25">
      <c r="A59" s="2" t="s">
        <v>54</v>
      </c>
      <c r="B59" s="3">
        <f>121.6</f>
        <v>121.6</v>
      </c>
    </row>
    <row r="60" spans="1:2" x14ac:dyDescent="0.25">
      <c r="A60" s="2" t="s">
        <v>55</v>
      </c>
      <c r="B60" s="3">
        <f>4000</f>
        <v>4000</v>
      </c>
    </row>
    <row r="61" spans="1:2" x14ac:dyDescent="0.25">
      <c r="A61" s="2" t="s">
        <v>56</v>
      </c>
      <c r="B61" s="3">
        <f>4675.65</f>
        <v>4675.6499999999996</v>
      </c>
    </row>
    <row r="62" spans="1:2" x14ac:dyDescent="0.25">
      <c r="A62" s="2" t="s">
        <v>57</v>
      </c>
      <c r="B62" s="3">
        <f>331.35</f>
        <v>331.35</v>
      </c>
    </row>
    <row r="63" spans="1:2" x14ac:dyDescent="0.25">
      <c r="A63" s="2" t="s">
        <v>58</v>
      </c>
      <c r="B63" s="3">
        <f>902.98</f>
        <v>902.98</v>
      </c>
    </row>
    <row r="64" spans="1:2" x14ac:dyDescent="0.25">
      <c r="A64" s="2" t="s">
        <v>59</v>
      </c>
      <c r="B64" s="3">
        <f>-227.24</f>
        <v>-227.24</v>
      </c>
    </row>
    <row r="65" spans="1:2" x14ac:dyDescent="0.25">
      <c r="A65" s="2" t="s">
        <v>60</v>
      </c>
      <c r="B65" s="3">
        <f>31874.5</f>
        <v>31874.5</v>
      </c>
    </row>
    <row r="66" spans="1:2" x14ac:dyDescent="0.25">
      <c r="A66" s="2" t="s">
        <v>61</v>
      </c>
      <c r="B66" s="3">
        <f>5000</f>
        <v>5000</v>
      </c>
    </row>
    <row r="67" spans="1:2" x14ac:dyDescent="0.25">
      <c r="A67" s="2" t="s">
        <v>62</v>
      </c>
      <c r="B67" s="3">
        <f>2680.44</f>
        <v>2680.44</v>
      </c>
    </row>
    <row r="68" spans="1:2" x14ac:dyDescent="0.25">
      <c r="A68" s="2" t="s">
        <v>63</v>
      </c>
      <c r="B68" s="3">
        <f>203.75</f>
        <v>203.75</v>
      </c>
    </row>
    <row r="69" spans="1:2" x14ac:dyDescent="0.25">
      <c r="A69" s="2" t="s">
        <v>65</v>
      </c>
      <c r="B69" s="6">
        <f>((((((((((((((((((((((((((((((((((((((((((B27)+(B28))+(B29))+(B30))+(B31))+(B32))+(B33))+(B34))+(B35))+(B36))+(B37))+(B38))+(B39))+(B40))+(B41))+(B42))+(B43))+(B44))+(B45))+(B46))+(B47))+(B48))+(B49))+(B50))+(B51))+(B52))+(B53))+(B54))+(B55))+(B56))+(B57))+(B58))+(B59))+(B60))+(B61))+(B62))+(B63))+(B64))+(B65))+(B66))+(B67))+(B68))</f>
        <v>91497.94</v>
      </c>
    </row>
    <row r="70" spans="1:2" x14ac:dyDescent="0.25">
      <c r="A70" s="2" t="s">
        <v>66</v>
      </c>
      <c r="B70" s="4">
        <f>(B25)-(B69)</f>
        <v>-26684.910000000011</v>
      </c>
    </row>
    <row r="71" spans="1:2" x14ac:dyDescent="0.25">
      <c r="A71" s="2" t="s">
        <v>67</v>
      </c>
      <c r="B71" s="7">
        <f>(B70)+(0)</f>
        <v>-26684.910000000011</v>
      </c>
    </row>
    <row r="72" spans="1:2" x14ac:dyDescent="0.25">
      <c r="A72" s="2"/>
      <c r="B72" s="3"/>
    </row>
    <row r="75" spans="1:2" x14ac:dyDescent="0.25">
      <c r="A75" s="9"/>
      <c r="B75" s="10"/>
    </row>
  </sheetData>
  <mergeCells count="4">
    <mergeCell ref="A75:B75"/>
    <mergeCell ref="A1:B1"/>
    <mergeCell ref="A2:B2"/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797F1-71EC-4EE5-9D80-1F641CDE5BA3}">
  <dimension ref="A1:B125"/>
  <sheetViews>
    <sheetView topLeftCell="A109" workbookViewId="0">
      <selection activeCell="B121" sqref="B121"/>
    </sheetView>
  </sheetViews>
  <sheetFormatPr defaultRowHeight="15" x14ac:dyDescent="0.25"/>
  <cols>
    <col min="1" max="1" width="37.85546875" customWidth="1"/>
    <col min="2" max="2" width="18.85546875" customWidth="1"/>
  </cols>
  <sheetData>
    <row r="1" spans="1:2" ht="18" x14ac:dyDescent="0.25">
      <c r="A1" s="11" t="s">
        <v>68</v>
      </c>
      <c r="B1" s="10"/>
    </row>
    <row r="2" spans="1:2" ht="18" x14ac:dyDescent="0.25">
      <c r="A2" s="11" t="s">
        <v>69</v>
      </c>
      <c r="B2" s="10"/>
    </row>
    <row r="3" spans="1:2" x14ac:dyDescent="0.25">
      <c r="A3" s="12" t="s">
        <v>186</v>
      </c>
      <c r="B3" s="10"/>
    </row>
    <row r="5" spans="1:2" x14ac:dyDescent="0.25">
      <c r="B5" s="1" t="s">
        <v>0</v>
      </c>
    </row>
    <row r="6" spans="1:2" x14ac:dyDescent="0.25">
      <c r="A6" s="2" t="s">
        <v>1</v>
      </c>
      <c r="B6" s="3"/>
    </row>
    <row r="7" spans="1:2" x14ac:dyDescent="0.25">
      <c r="A7" s="2" t="s">
        <v>2</v>
      </c>
      <c r="B7" s="3">
        <f>164265.12</f>
        <v>164265.12</v>
      </c>
    </row>
    <row r="8" spans="1:2" x14ac:dyDescent="0.25">
      <c r="A8" s="2" t="s">
        <v>3</v>
      </c>
      <c r="B8" s="3">
        <f>15231.74</f>
        <v>15231.74</v>
      </c>
    </row>
    <row r="9" spans="1:2" x14ac:dyDescent="0.25">
      <c r="A9" s="2" t="s">
        <v>4</v>
      </c>
      <c r="B9" s="3">
        <f>105024.88</f>
        <v>105024.88</v>
      </c>
    </row>
    <row r="10" spans="1:2" x14ac:dyDescent="0.25">
      <c r="A10" s="2" t="s">
        <v>185</v>
      </c>
      <c r="B10" s="3">
        <f>-9000</f>
        <v>-9000</v>
      </c>
    </row>
    <row r="11" spans="1:2" x14ac:dyDescent="0.25">
      <c r="A11" s="2" t="s">
        <v>184</v>
      </c>
      <c r="B11" s="3">
        <f>8378</f>
        <v>8378</v>
      </c>
    </row>
    <row r="12" spans="1:2" x14ac:dyDescent="0.25">
      <c r="A12" s="2" t="s">
        <v>183</v>
      </c>
      <c r="B12" s="3">
        <f>12313.41</f>
        <v>12313.41</v>
      </c>
    </row>
    <row r="13" spans="1:2" x14ac:dyDescent="0.25">
      <c r="A13" s="2" t="s">
        <v>5</v>
      </c>
      <c r="B13" s="3">
        <f>8131.82</f>
        <v>8131.82</v>
      </c>
    </row>
    <row r="14" spans="1:2" x14ac:dyDescent="0.25">
      <c r="A14" s="2" t="s">
        <v>6</v>
      </c>
      <c r="B14" s="3">
        <f>116050</f>
        <v>116050</v>
      </c>
    </row>
    <row r="15" spans="1:2" x14ac:dyDescent="0.25">
      <c r="A15" s="2" t="s">
        <v>7</v>
      </c>
      <c r="B15" s="3">
        <f>5468</f>
        <v>5468</v>
      </c>
    </row>
    <row r="16" spans="1:2" x14ac:dyDescent="0.25">
      <c r="A16" s="2" t="s">
        <v>182</v>
      </c>
      <c r="B16" s="3">
        <f>250000</f>
        <v>250000</v>
      </c>
    </row>
    <row r="17" spans="1:2" x14ac:dyDescent="0.25">
      <c r="A17" s="2" t="s">
        <v>181</v>
      </c>
      <c r="B17" s="3">
        <f>40</f>
        <v>40</v>
      </c>
    </row>
    <row r="18" spans="1:2" x14ac:dyDescent="0.25">
      <c r="A18" s="2" t="s">
        <v>8</v>
      </c>
      <c r="B18" s="3">
        <f>143093.2</f>
        <v>143093.20000000001</v>
      </c>
    </row>
    <row r="19" spans="1:2" x14ac:dyDescent="0.25">
      <c r="A19" s="2" t="s">
        <v>180</v>
      </c>
      <c r="B19" s="3">
        <f>665.6</f>
        <v>665.6</v>
      </c>
    </row>
    <row r="20" spans="1:2" x14ac:dyDescent="0.25">
      <c r="A20" s="2" t="s">
        <v>9</v>
      </c>
      <c r="B20" s="3">
        <f>14602.34</f>
        <v>14602.34</v>
      </c>
    </row>
    <row r="21" spans="1:2" x14ac:dyDescent="0.25">
      <c r="A21" s="2" t="s">
        <v>179</v>
      </c>
      <c r="B21" s="3">
        <f>30</f>
        <v>30</v>
      </c>
    </row>
    <row r="22" spans="1:2" x14ac:dyDescent="0.25">
      <c r="A22" s="2" t="s">
        <v>178</v>
      </c>
      <c r="B22" s="3">
        <f>1690</f>
        <v>1690</v>
      </c>
    </row>
    <row r="23" spans="1:2" x14ac:dyDescent="0.25">
      <c r="A23" s="2" t="s">
        <v>10</v>
      </c>
      <c r="B23" s="3">
        <f>20528</f>
        <v>20528</v>
      </c>
    </row>
    <row r="24" spans="1:2" x14ac:dyDescent="0.25">
      <c r="A24" s="2" t="s">
        <v>177</v>
      </c>
      <c r="B24" s="3"/>
    </row>
    <row r="25" spans="1:2" x14ac:dyDescent="0.25">
      <c r="A25" s="2" t="s">
        <v>176</v>
      </c>
      <c r="B25" s="3">
        <f>1500</f>
        <v>1500</v>
      </c>
    </row>
    <row r="26" spans="1:2" x14ac:dyDescent="0.25">
      <c r="A26" s="2" t="s">
        <v>175</v>
      </c>
      <c r="B26" s="3">
        <f>2373</f>
        <v>2373</v>
      </c>
    </row>
    <row r="27" spans="1:2" x14ac:dyDescent="0.25">
      <c r="A27" s="2" t="s">
        <v>174</v>
      </c>
      <c r="B27" s="3">
        <f>54544.85</f>
        <v>54544.85</v>
      </c>
    </row>
    <row r="28" spans="1:2" x14ac:dyDescent="0.25">
      <c r="A28" s="2" t="s">
        <v>173</v>
      </c>
      <c r="B28" s="5">
        <f>(((B24)+(B25))+(B26))+(B27)</f>
        <v>58417.85</v>
      </c>
    </row>
    <row r="29" spans="1:2" x14ac:dyDescent="0.25">
      <c r="A29" s="2" t="s">
        <v>172</v>
      </c>
      <c r="B29" s="3"/>
    </row>
    <row r="30" spans="1:2" x14ac:dyDescent="0.25">
      <c r="A30" s="2" t="s">
        <v>171</v>
      </c>
      <c r="B30" s="3">
        <f>4856.82</f>
        <v>4856.82</v>
      </c>
    </row>
    <row r="31" spans="1:2" x14ac:dyDescent="0.25">
      <c r="A31" s="2" t="s">
        <v>170</v>
      </c>
      <c r="B31" s="3">
        <f>-30418.72</f>
        <v>-30418.720000000001</v>
      </c>
    </row>
    <row r="32" spans="1:2" x14ac:dyDescent="0.25">
      <c r="A32" s="2" t="s">
        <v>169</v>
      </c>
      <c r="B32" s="5">
        <f>((B29)+(B30))+(B31)</f>
        <v>-25561.9</v>
      </c>
    </row>
    <row r="33" spans="1:2" x14ac:dyDescent="0.25">
      <c r="A33" s="2" t="s">
        <v>11</v>
      </c>
      <c r="B33" s="3">
        <f>22228.03</f>
        <v>22228.03</v>
      </c>
    </row>
    <row r="34" spans="1:2" x14ac:dyDescent="0.25">
      <c r="A34" s="2" t="s">
        <v>12</v>
      </c>
      <c r="B34" s="3">
        <f>7366.93</f>
        <v>7366.93</v>
      </c>
    </row>
    <row r="35" spans="1:2" x14ac:dyDescent="0.25">
      <c r="A35" s="2" t="s">
        <v>168</v>
      </c>
      <c r="B35" s="3">
        <f>4550</f>
        <v>4550</v>
      </c>
    </row>
    <row r="36" spans="1:2" x14ac:dyDescent="0.25">
      <c r="A36" s="2" t="s">
        <v>167</v>
      </c>
      <c r="B36" s="3">
        <f>18500</f>
        <v>18500</v>
      </c>
    </row>
    <row r="37" spans="1:2" x14ac:dyDescent="0.25">
      <c r="A37" s="2" t="s">
        <v>13</v>
      </c>
      <c r="B37" s="5">
        <f>(((B33)+(B34))+(B35))+(B36)</f>
        <v>52644.959999999999</v>
      </c>
    </row>
    <row r="38" spans="1:2" x14ac:dyDescent="0.25">
      <c r="A38" s="2" t="s">
        <v>14</v>
      </c>
      <c r="B38" s="3">
        <f>25104.81</f>
        <v>25104.81</v>
      </c>
    </row>
    <row r="39" spans="1:2" x14ac:dyDescent="0.25">
      <c r="A39" s="2" t="s">
        <v>166</v>
      </c>
      <c r="B39" s="3">
        <f>-3422.27</f>
        <v>-3422.27</v>
      </c>
    </row>
    <row r="40" spans="1:2" x14ac:dyDescent="0.25">
      <c r="A40" s="2" t="s">
        <v>15</v>
      </c>
      <c r="B40" s="3">
        <f>154</f>
        <v>154</v>
      </c>
    </row>
    <row r="41" spans="1:2" x14ac:dyDescent="0.25">
      <c r="A41" s="2" t="s">
        <v>16</v>
      </c>
      <c r="B41" s="5">
        <f>(((((((((((((((((((((((B7)+(B8))+(B9))+(B10))+(B11))+(B12))+(B13))+(B14))+(B15))+(B16))+(B17))+(B18))+(B19))+(B20))+(B21))+(B22))+(B23))+(B28))+(B32))+(B37))+(B38))+(B39))+(B40))</f>
        <v>963849.55999999982</v>
      </c>
    </row>
    <row r="42" spans="1:2" x14ac:dyDescent="0.25">
      <c r="A42" s="2" t="s">
        <v>17</v>
      </c>
      <c r="B42" s="3"/>
    </row>
    <row r="43" spans="1:2" x14ac:dyDescent="0.25">
      <c r="A43" s="2" t="s">
        <v>165</v>
      </c>
      <c r="B43" s="3">
        <f>39763.5</f>
        <v>39763.5</v>
      </c>
    </row>
    <row r="44" spans="1:2" x14ac:dyDescent="0.25">
      <c r="A44" s="2" t="s">
        <v>18</v>
      </c>
      <c r="B44" s="3">
        <f>23916.57</f>
        <v>23916.57</v>
      </c>
    </row>
    <row r="45" spans="1:2" x14ac:dyDescent="0.25">
      <c r="A45" s="2" t="s">
        <v>19</v>
      </c>
      <c r="B45" s="5">
        <f>(B43)+(B44)</f>
        <v>63680.07</v>
      </c>
    </row>
    <row r="46" spans="1:2" x14ac:dyDescent="0.25">
      <c r="A46" s="2" t="s">
        <v>20</v>
      </c>
      <c r="B46" s="5">
        <f>(B41)-(B45)</f>
        <v>900169.48999999987</v>
      </c>
    </row>
    <row r="47" spans="1:2" x14ac:dyDescent="0.25">
      <c r="A47" s="2" t="s">
        <v>21</v>
      </c>
      <c r="B47" s="3"/>
    </row>
    <row r="48" spans="1:2" x14ac:dyDescent="0.25">
      <c r="A48" s="2" t="s">
        <v>164</v>
      </c>
      <c r="B48" s="3">
        <f>744.86</f>
        <v>744.86</v>
      </c>
    </row>
    <row r="49" spans="1:2" x14ac:dyDescent="0.25">
      <c r="A49" s="2" t="s">
        <v>163</v>
      </c>
      <c r="B49" s="3">
        <f>162.38</f>
        <v>162.38</v>
      </c>
    </row>
    <row r="50" spans="1:2" x14ac:dyDescent="0.25">
      <c r="A50" s="2" t="s">
        <v>162</v>
      </c>
      <c r="B50" s="3">
        <f>476.5</f>
        <v>476.5</v>
      </c>
    </row>
    <row r="51" spans="1:2" x14ac:dyDescent="0.25">
      <c r="A51" s="2" t="s">
        <v>161</v>
      </c>
      <c r="B51" s="3">
        <f>325</f>
        <v>325</v>
      </c>
    </row>
    <row r="52" spans="1:2" x14ac:dyDescent="0.25">
      <c r="A52" s="2" t="s">
        <v>22</v>
      </c>
      <c r="B52" s="3">
        <f>548.08</f>
        <v>548.08000000000004</v>
      </c>
    </row>
    <row r="53" spans="1:2" x14ac:dyDescent="0.25">
      <c r="A53" s="2" t="s">
        <v>23</v>
      </c>
      <c r="B53" s="3">
        <f>2787.01</f>
        <v>2787.01</v>
      </c>
    </row>
    <row r="54" spans="1:2" x14ac:dyDescent="0.25">
      <c r="A54" s="2" t="s">
        <v>24</v>
      </c>
      <c r="B54" s="3">
        <f>1075</f>
        <v>1075</v>
      </c>
    </row>
    <row r="55" spans="1:2" x14ac:dyDescent="0.25">
      <c r="A55" s="2" t="s">
        <v>25</v>
      </c>
      <c r="B55" s="3">
        <f>3269.64</f>
        <v>3269.64</v>
      </c>
    </row>
    <row r="56" spans="1:2" x14ac:dyDescent="0.25">
      <c r="A56" s="2" t="s">
        <v>26</v>
      </c>
      <c r="B56" s="3">
        <f>5623.07</f>
        <v>5623.07</v>
      </c>
    </row>
    <row r="57" spans="1:2" x14ac:dyDescent="0.25">
      <c r="A57" s="2" t="s">
        <v>27</v>
      </c>
      <c r="B57" s="3">
        <f>319.48</f>
        <v>319.48</v>
      </c>
    </row>
    <row r="58" spans="1:2" x14ac:dyDescent="0.25">
      <c r="A58" s="2" t="s">
        <v>160</v>
      </c>
      <c r="B58" s="3">
        <f>490.79</f>
        <v>490.79</v>
      </c>
    </row>
    <row r="59" spans="1:2" x14ac:dyDescent="0.25">
      <c r="A59" s="2" t="s">
        <v>28</v>
      </c>
      <c r="B59" s="3">
        <f>4003.03</f>
        <v>4003.03</v>
      </c>
    </row>
    <row r="60" spans="1:2" x14ac:dyDescent="0.25">
      <c r="A60" s="2" t="s">
        <v>29</v>
      </c>
      <c r="B60" s="3">
        <f>3118.72</f>
        <v>3118.72</v>
      </c>
    </row>
    <row r="61" spans="1:2" x14ac:dyDescent="0.25">
      <c r="A61" s="2" t="s">
        <v>30</v>
      </c>
      <c r="B61" s="3">
        <f>165.33</f>
        <v>165.33</v>
      </c>
    </row>
    <row r="62" spans="1:2" x14ac:dyDescent="0.25">
      <c r="A62" s="2" t="s">
        <v>31</v>
      </c>
      <c r="B62" s="3">
        <f>7490.84</f>
        <v>7490.84</v>
      </c>
    </row>
    <row r="63" spans="1:2" x14ac:dyDescent="0.25">
      <c r="A63" s="2" t="s">
        <v>32</v>
      </c>
      <c r="B63" s="3">
        <f>23475</f>
        <v>23475</v>
      </c>
    </row>
    <row r="64" spans="1:2" x14ac:dyDescent="0.25">
      <c r="A64" s="2" t="s">
        <v>159</v>
      </c>
      <c r="B64" s="3">
        <f>564</f>
        <v>564</v>
      </c>
    </row>
    <row r="65" spans="1:2" x14ac:dyDescent="0.25">
      <c r="A65" s="2" t="s">
        <v>33</v>
      </c>
      <c r="B65" s="3">
        <f>2196</f>
        <v>2196</v>
      </c>
    </row>
    <row r="66" spans="1:2" x14ac:dyDescent="0.25">
      <c r="A66" s="2" t="s">
        <v>34</v>
      </c>
      <c r="B66" s="3">
        <f>9889.8</f>
        <v>9889.7999999999993</v>
      </c>
    </row>
    <row r="67" spans="1:2" x14ac:dyDescent="0.25">
      <c r="A67" s="2" t="s">
        <v>35</v>
      </c>
      <c r="B67" s="3">
        <f>1859.31</f>
        <v>1859.31</v>
      </c>
    </row>
    <row r="68" spans="1:2" x14ac:dyDescent="0.25">
      <c r="A68" s="2" t="s">
        <v>158</v>
      </c>
      <c r="B68" s="3">
        <f>5922</f>
        <v>5922</v>
      </c>
    </row>
    <row r="69" spans="1:2" x14ac:dyDescent="0.25">
      <c r="A69" s="2" t="s">
        <v>157</v>
      </c>
      <c r="B69" s="3">
        <f>13898.08</f>
        <v>13898.08</v>
      </c>
    </row>
    <row r="70" spans="1:2" x14ac:dyDescent="0.25">
      <c r="A70" s="2" t="s">
        <v>156</v>
      </c>
      <c r="B70" s="3">
        <f>4220</f>
        <v>4220</v>
      </c>
    </row>
    <row r="71" spans="1:2" x14ac:dyDescent="0.25">
      <c r="A71" s="2" t="s">
        <v>155</v>
      </c>
      <c r="B71" s="3">
        <f>1320</f>
        <v>1320</v>
      </c>
    </row>
    <row r="72" spans="1:2" x14ac:dyDescent="0.25">
      <c r="A72" s="2" t="s">
        <v>36</v>
      </c>
      <c r="B72" s="3">
        <f>640.45</f>
        <v>640.45000000000005</v>
      </c>
    </row>
    <row r="73" spans="1:2" x14ac:dyDescent="0.25">
      <c r="A73" s="2" t="s">
        <v>37</v>
      </c>
      <c r="B73" s="3">
        <f>16071.52</f>
        <v>16071.52</v>
      </c>
    </row>
    <row r="74" spans="1:2" x14ac:dyDescent="0.25">
      <c r="A74" s="2" t="s">
        <v>154</v>
      </c>
      <c r="B74" s="3">
        <f>594.18</f>
        <v>594.17999999999995</v>
      </c>
    </row>
    <row r="75" spans="1:2" x14ac:dyDescent="0.25">
      <c r="A75" s="2" t="s">
        <v>153</v>
      </c>
      <c r="B75" s="3">
        <f>701</f>
        <v>701</v>
      </c>
    </row>
    <row r="76" spans="1:2" x14ac:dyDescent="0.25">
      <c r="A76" s="2" t="s">
        <v>152</v>
      </c>
      <c r="B76" s="3">
        <f>500</f>
        <v>500</v>
      </c>
    </row>
    <row r="77" spans="1:2" x14ac:dyDescent="0.25">
      <c r="A77" s="2" t="s">
        <v>38</v>
      </c>
      <c r="B77" s="3">
        <f>7825.25</f>
        <v>7825.25</v>
      </c>
    </row>
    <row r="78" spans="1:2" x14ac:dyDescent="0.25">
      <c r="A78" s="2" t="s">
        <v>39</v>
      </c>
      <c r="B78" s="3">
        <f>7638.82</f>
        <v>7638.82</v>
      </c>
    </row>
    <row r="79" spans="1:2" x14ac:dyDescent="0.25">
      <c r="A79" s="2" t="s">
        <v>40</v>
      </c>
      <c r="B79" s="3">
        <f>7127.08</f>
        <v>7127.08</v>
      </c>
    </row>
    <row r="80" spans="1:2" x14ac:dyDescent="0.25">
      <c r="A80" s="2" t="s">
        <v>41</v>
      </c>
      <c r="B80" s="3">
        <f>165936</f>
        <v>165936</v>
      </c>
    </row>
    <row r="81" spans="1:2" x14ac:dyDescent="0.25">
      <c r="A81" s="2" t="s">
        <v>42</v>
      </c>
      <c r="B81" s="3">
        <f>7249.84</f>
        <v>7249.84</v>
      </c>
    </row>
    <row r="82" spans="1:2" x14ac:dyDescent="0.25">
      <c r="A82" s="2" t="s">
        <v>151</v>
      </c>
      <c r="B82" s="3">
        <f>7782.86</f>
        <v>7782.86</v>
      </c>
    </row>
    <row r="83" spans="1:2" x14ac:dyDescent="0.25">
      <c r="A83" s="2" t="s">
        <v>43</v>
      </c>
      <c r="B83" s="3">
        <f>5937.45</f>
        <v>5937.45</v>
      </c>
    </row>
    <row r="84" spans="1:2" x14ac:dyDescent="0.25">
      <c r="A84" s="2" t="s">
        <v>44</v>
      </c>
      <c r="B84" s="3">
        <f>1268.18</f>
        <v>1268.18</v>
      </c>
    </row>
    <row r="85" spans="1:2" x14ac:dyDescent="0.25">
      <c r="A85" s="2" t="s">
        <v>150</v>
      </c>
      <c r="B85" s="3">
        <f>297.84</f>
        <v>297.83999999999997</v>
      </c>
    </row>
    <row r="86" spans="1:2" x14ac:dyDescent="0.25">
      <c r="A86" s="2" t="s">
        <v>149</v>
      </c>
      <c r="B86" s="3">
        <f>4723.52</f>
        <v>4723.5200000000004</v>
      </c>
    </row>
    <row r="87" spans="1:2" x14ac:dyDescent="0.25">
      <c r="A87" s="2" t="s">
        <v>148</v>
      </c>
      <c r="B87" s="3">
        <f>65</f>
        <v>65</v>
      </c>
    </row>
    <row r="88" spans="1:2" x14ac:dyDescent="0.25">
      <c r="A88" s="2" t="s">
        <v>45</v>
      </c>
      <c r="B88" s="3">
        <f>614</f>
        <v>614</v>
      </c>
    </row>
    <row r="89" spans="1:2" x14ac:dyDescent="0.25">
      <c r="A89" s="2" t="s">
        <v>147</v>
      </c>
      <c r="B89" s="3">
        <f>50.96</f>
        <v>50.96</v>
      </c>
    </row>
    <row r="90" spans="1:2" x14ac:dyDescent="0.25">
      <c r="A90" s="2" t="s">
        <v>146</v>
      </c>
      <c r="B90" s="3">
        <f>1199.8</f>
        <v>1199.8</v>
      </c>
    </row>
    <row r="91" spans="1:2" x14ac:dyDescent="0.25">
      <c r="A91" s="2" t="s">
        <v>145</v>
      </c>
      <c r="B91" s="5">
        <f>(B89)+(B90)</f>
        <v>1250.76</v>
      </c>
    </row>
    <row r="92" spans="1:2" x14ac:dyDescent="0.25">
      <c r="A92" s="2" t="s">
        <v>144</v>
      </c>
      <c r="B92" s="3">
        <f>-1250</f>
        <v>-1250</v>
      </c>
    </row>
    <row r="93" spans="1:2" x14ac:dyDescent="0.25">
      <c r="A93" s="2" t="s">
        <v>143</v>
      </c>
      <c r="B93" s="3">
        <f>108</f>
        <v>108</v>
      </c>
    </row>
    <row r="94" spans="1:2" x14ac:dyDescent="0.25">
      <c r="A94" s="2" t="s">
        <v>46</v>
      </c>
      <c r="B94" s="3">
        <f>1075</f>
        <v>1075</v>
      </c>
    </row>
    <row r="95" spans="1:2" x14ac:dyDescent="0.25">
      <c r="A95" s="2" t="s">
        <v>47</v>
      </c>
      <c r="B95" s="3">
        <f>1732.22</f>
        <v>1732.22</v>
      </c>
    </row>
    <row r="96" spans="1:2" x14ac:dyDescent="0.25">
      <c r="A96" s="2" t="s">
        <v>48</v>
      </c>
      <c r="B96" s="3">
        <f>336.04</f>
        <v>336.04</v>
      </c>
    </row>
    <row r="97" spans="1:2" x14ac:dyDescent="0.25">
      <c r="A97" s="2" t="s">
        <v>142</v>
      </c>
      <c r="B97" s="3">
        <f>13937.89</f>
        <v>13937.89</v>
      </c>
    </row>
    <row r="98" spans="1:2" x14ac:dyDescent="0.25">
      <c r="A98" s="2" t="s">
        <v>49</v>
      </c>
      <c r="B98" s="3">
        <f>805.58</f>
        <v>805.58</v>
      </c>
    </row>
    <row r="99" spans="1:2" x14ac:dyDescent="0.25">
      <c r="A99" s="2" t="s">
        <v>141</v>
      </c>
      <c r="B99" s="3">
        <f>165.98</f>
        <v>165.98</v>
      </c>
    </row>
    <row r="100" spans="1:2" x14ac:dyDescent="0.25">
      <c r="A100" s="2" t="s">
        <v>140</v>
      </c>
      <c r="B100" s="3">
        <f>2429.22</f>
        <v>2429.2199999999998</v>
      </c>
    </row>
    <row r="101" spans="1:2" x14ac:dyDescent="0.25">
      <c r="A101" s="2" t="s">
        <v>50</v>
      </c>
      <c r="B101" s="3">
        <f>12270.99</f>
        <v>12270.99</v>
      </c>
    </row>
    <row r="102" spans="1:2" x14ac:dyDescent="0.25">
      <c r="A102" s="2" t="s">
        <v>51</v>
      </c>
      <c r="B102" s="3">
        <f>9830.57</f>
        <v>9830.57</v>
      </c>
    </row>
    <row r="103" spans="1:2" x14ac:dyDescent="0.25">
      <c r="A103" s="2" t="s">
        <v>52</v>
      </c>
      <c r="B103" s="3">
        <f>1573.33</f>
        <v>1573.33</v>
      </c>
    </row>
    <row r="104" spans="1:2" x14ac:dyDescent="0.25">
      <c r="A104" s="2" t="s">
        <v>53</v>
      </c>
      <c r="B104" s="3">
        <f>3807.34</f>
        <v>3807.34</v>
      </c>
    </row>
    <row r="105" spans="1:2" x14ac:dyDescent="0.25">
      <c r="A105" s="2" t="s">
        <v>54</v>
      </c>
      <c r="B105" s="3">
        <f>888.01</f>
        <v>888.01</v>
      </c>
    </row>
    <row r="106" spans="1:2" x14ac:dyDescent="0.25">
      <c r="A106" s="2" t="s">
        <v>55</v>
      </c>
      <c r="B106" s="3">
        <f>33589.03</f>
        <v>33589.03</v>
      </c>
    </row>
    <row r="107" spans="1:2" x14ac:dyDescent="0.25">
      <c r="A107" s="2" t="s">
        <v>56</v>
      </c>
      <c r="B107" s="3">
        <f>47895.24</f>
        <v>47895.24</v>
      </c>
    </row>
    <row r="108" spans="1:2" x14ac:dyDescent="0.25">
      <c r="A108" s="2" t="s">
        <v>57</v>
      </c>
      <c r="B108" s="3">
        <f>1417.05</f>
        <v>1417.05</v>
      </c>
    </row>
    <row r="109" spans="1:2" x14ac:dyDescent="0.25">
      <c r="A109" s="2" t="s">
        <v>58</v>
      </c>
      <c r="B109" s="3">
        <f>3652</f>
        <v>3652</v>
      </c>
    </row>
    <row r="110" spans="1:2" x14ac:dyDescent="0.25">
      <c r="A110" s="2" t="s">
        <v>59</v>
      </c>
      <c r="B110" s="3">
        <f>22962.28</f>
        <v>22962.28</v>
      </c>
    </row>
    <row r="111" spans="1:2" x14ac:dyDescent="0.25">
      <c r="A111" s="2" t="s">
        <v>60</v>
      </c>
      <c r="B111" s="3">
        <f>347456.88</f>
        <v>347456.88</v>
      </c>
    </row>
    <row r="112" spans="1:2" x14ac:dyDescent="0.25">
      <c r="A112" s="2" t="s">
        <v>61</v>
      </c>
      <c r="B112" s="3">
        <f>5075</f>
        <v>5075</v>
      </c>
    </row>
    <row r="113" spans="1:2" x14ac:dyDescent="0.25">
      <c r="A113" s="2" t="s">
        <v>62</v>
      </c>
      <c r="B113" s="3">
        <f>69117.75</f>
        <v>69117.75</v>
      </c>
    </row>
    <row r="114" spans="1:2" x14ac:dyDescent="0.25">
      <c r="A114" s="2" t="s">
        <v>139</v>
      </c>
      <c r="B114" s="3">
        <f>1674.15</f>
        <v>1674.15</v>
      </c>
    </row>
    <row r="115" spans="1:2" x14ac:dyDescent="0.25">
      <c r="A115" s="2" t="s">
        <v>63</v>
      </c>
      <c r="B115" s="3">
        <f>30340.09</f>
        <v>30340.09</v>
      </c>
    </row>
    <row r="116" spans="1:2" x14ac:dyDescent="0.25">
      <c r="A116" s="2" t="s">
        <v>138</v>
      </c>
      <c r="B116" s="3">
        <f>843.52</f>
        <v>843.52</v>
      </c>
    </row>
    <row r="117" spans="1:2" x14ac:dyDescent="0.25">
      <c r="A117" s="2" t="s">
        <v>137</v>
      </c>
      <c r="B117" s="3">
        <f>4984</f>
        <v>4984</v>
      </c>
    </row>
    <row r="118" spans="1:2" x14ac:dyDescent="0.25">
      <c r="A118" s="2" t="s">
        <v>64</v>
      </c>
      <c r="B118" s="3">
        <f>5375</f>
        <v>5375</v>
      </c>
    </row>
    <row r="119" spans="1:2" x14ac:dyDescent="0.25">
      <c r="A119" s="2" t="s">
        <v>65</v>
      </c>
      <c r="B119" s="5">
        <f>((((((((((((((((((((((((((((((((((((((((((((((((((((((((((((((((((((B48)+(B49))+(B50))+(B51))+(B52))+(B53))+(B54))+(B55))+(B56))+(B57))+(B58))+(B59))+(B60))+(B61))+(B62))+(B63))+(B64))+(B65))+(B66))+(B67))+(B68))+(B69))+(B70))+(B71))+(B72))+(B73))+(B74))+(B75))+(B76))+(B77))+(B78))+(B79))+(B80))+(B81))+(B82))+(B83))+(B84))+(B85))+(B86))+(B87))+(B88))+(B91))+(B92))+(B93))+(B94))+(B95))+(B96))+(B97))+(B98))+(B99))+(B100))+(B101))+(B102))+(B103))+(B104))+(B105))+(B106))+(B107))+(B108))+(B109))+(B110))+(B111))+(B112))+(B113))+(B114))+(B115))+(B116))+(B117))+(B118)</f>
        <v>952259.83</v>
      </c>
    </row>
    <row r="120" spans="1:2" x14ac:dyDescent="0.25">
      <c r="A120" s="2" t="s">
        <v>66</v>
      </c>
      <c r="B120" s="5">
        <f>(B46)-(B119)</f>
        <v>-52090.340000000084</v>
      </c>
    </row>
    <row r="121" spans="1:2" x14ac:dyDescent="0.25">
      <c r="A121" s="2" t="s">
        <v>67</v>
      </c>
      <c r="B121" s="8">
        <f>(B120)+(0)</f>
        <v>-52090.340000000084</v>
      </c>
    </row>
    <row r="122" spans="1:2" x14ac:dyDescent="0.25">
      <c r="A122" s="2"/>
      <c r="B122" s="3"/>
    </row>
    <row r="125" spans="1:2" x14ac:dyDescent="0.25">
      <c r="A125" s="9"/>
      <c r="B125" s="10"/>
    </row>
  </sheetData>
  <mergeCells count="4">
    <mergeCell ref="A125:B125"/>
    <mergeCell ref="A1:B1"/>
    <mergeCell ref="A2:B2"/>
    <mergeCell ref="A3: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E6629-576E-4496-851A-117B14185B6B}">
  <dimension ref="A1:B73"/>
  <sheetViews>
    <sheetView topLeftCell="A64" workbookViewId="0">
      <selection activeCell="B67" sqref="B67"/>
    </sheetView>
  </sheetViews>
  <sheetFormatPr defaultRowHeight="15" x14ac:dyDescent="0.25"/>
  <cols>
    <col min="1" max="1" width="41.28515625" customWidth="1"/>
    <col min="2" max="2" width="27.42578125" customWidth="1"/>
  </cols>
  <sheetData>
    <row r="1" spans="1:2" ht="18" x14ac:dyDescent="0.25">
      <c r="A1" s="11" t="s">
        <v>68</v>
      </c>
      <c r="B1" s="10"/>
    </row>
    <row r="2" spans="1:2" ht="18" x14ac:dyDescent="0.25">
      <c r="A2" s="11" t="s">
        <v>136</v>
      </c>
      <c r="B2" s="10"/>
    </row>
    <row r="3" spans="1:2" x14ac:dyDescent="0.25">
      <c r="A3" s="12" t="s">
        <v>135</v>
      </c>
      <c r="B3" s="10"/>
    </row>
    <row r="5" spans="1:2" x14ac:dyDescent="0.25">
      <c r="B5" s="1" t="s">
        <v>0</v>
      </c>
    </row>
    <row r="6" spans="1:2" x14ac:dyDescent="0.25">
      <c r="A6" s="2" t="s">
        <v>134</v>
      </c>
      <c r="B6" s="3"/>
    </row>
    <row r="7" spans="1:2" x14ac:dyDescent="0.25">
      <c r="A7" s="2" t="s">
        <v>133</v>
      </c>
      <c r="B7" s="3"/>
    </row>
    <row r="8" spans="1:2" x14ac:dyDescent="0.25">
      <c r="A8" s="2" t="s">
        <v>132</v>
      </c>
      <c r="B8" s="3"/>
    </row>
    <row r="9" spans="1:2" x14ac:dyDescent="0.25">
      <c r="A9" s="2" t="s">
        <v>131</v>
      </c>
      <c r="B9" s="3">
        <f>312983.03</f>
        <v>312983.03000000003</v>
      </c>
    </row>
    <row r="10" spans="1:2" x14ac:dyDescent="0.25">
      <c r="A10" s="2" t="s">
        <v>130</v>
      </c>
      <c r="B10" s="3">
        <f>275170.74</f>
        <v>275170.74</v>
      </c>
    </row>
    <row r="11" spans="1:2" x14ac:dyDescent="0.25">
      <c r="A11" s="2" t="s">
        <v>129</v>
      </c>
      <c r="B11" s="3">
        <f>10</f>
        <v>10</v>
      </c>
    </row>
    <row r="12" spans="1:2" x14ac:dyDescent="0.25">
      <c r="A12" s="2" t="s">
        <v>128</v>
      </c>
      <c r="B12" s="3">
        <f>0</f>
        <v>0</v>
      </c>
    </row>
    <row r="13" spans="1:2" x14ac:dyDescent="0.25">
      <c r="A13" s="2" t="s">
        <v>127</v>
      </c>
      <c r="B13" s="3">
        <f>523621.8</f>
        <v>523621.8</v>
      </c>
    </row>
    <row r="14" spans="1:2" x14ac:dyDescent="0.25">
      <c r="A14" s="2" t="s">
        <v>126</v>
      </c>
      <c r="B14" s="3">
        <f>0</f>
        <v>0</v>
      </c>
    </row>
    <row r="15" spans="1:2" x14ac:dyDescent="0.25">
      <c r="A15" s="2" t="s">
        <v>125</v>
      </c>
      <c r="B15" s="3">
        <f>0</f>
        <v>0</v>
      </c>
    </row>
    <row r="16" spans="1:2" x14ac:dyDescent="0.25">
      <c r="A16" s="2" t="s">
        <v>124</v>
      </c>
      <c r="B16" s="3">
        <f>1006831.6</f>
        <v>1006831.6</v>
      </c>
    </row>
    <row r="17" spans="1:2" x14ac:dyDescent="0.25">
      <c r="A17" s="2" t="s">
        <v>123</v>
      </c>
      <c r="B17" s="3">
        <f>0</f>
        <v>0</v>
      </c>
    </row>
    <row r="18" spans="1:2" x14ac:dyDescent="0.25">
      <c r="A18" s="2" t="s">
        <v>122</v>
      </c>
      <c r="B18" s="3">
        <f>258544.7</f>
        <v>258544.7</v>
      </c>
    </row>
    <row r="19" spans="1:2" x14ac:dyDescent="0.25">
      <c r="A19" s="2" t="s">
        <v>121</v>
      </c>
      <c r="B19" s="3">
        <f>1297.7</f>
        <v>1297.7</v>
      </c>
    </row>
    <row r="20" spans="1:2" x14ac:dyDescent="0.25">
      <c r="A20" s="2" t="s">
        <v>120</v>
      </c>
      <c r="B20" s="5">
        <f>((((((((((B9)+(B10))+(B11))+(B12))+(B13))+(B14))+(B15))+(B16))+(B17))+(B18))+(B19)</f>
        <v>2378459.5700000003</v>
      </c>
    </row>
    <row r="21" spans="1:2" x14ac:dyDescent="0.25">
      <c r="A21" s="2" t="s">
        <v>119</v>
      </c>
      <c r="B21" s="3"/>
    </row>
    <row r="22" spans="1:2" x14ac:dyDescent="0.25">
      <c r="A22" s="2" t="s">
        <v>118</v>
      </c>
      <c r="B22" s="3">
        <f>-46557.72</f>
        <v>-46557.72</v>
      </c>
    </row>
    <row r="23" spans="1:2" x14ac:dyDescent="0.25">
      <c r="A23" s="2" t="s">
        <v>117</v>
      </c>
      <c r="B23" s="3">
        <f>38388.65</f>
        <v>38388.65</v>
      </c>
    </row>
    <row r="24" spans="1:2" x14ac:dyDescent="0.25">
      <c r="A24" s="2" t="s">
        <v>116</v>
      </c>
      <c r="B24" s="5">
        <f>(B22)+(B23)</f>
        <v>-8169.07</v>
      </c>
    </row>
    <row r="25" spans="1:2" x14ac:dyDescent="0.25">
      <c r="A25" s="2" t="s">
        <v>115</v>
      </c>
      <c r="B25" s="3"/>
    </row>
    <row r="26" spans="1:2" x14ac:dyDescent="0.25">
      <c r="A26" s="2" t="s">
        <v>114</v>
      </c>
      <c r="B26" s="3">
        <f>1637.18</f>
        <v>1637.18</v>
      </c>
    </row>
    <row r="27" spans="1:2" x14ac:dyDescent="0.25">
      <c r="A27" s="2" t="s">
        <v>113</v>
      </c>
      <c r="B27" s="3">
        <f>0</f>
        <v>0</v>
      </c>
    </row>
    <row r="28" spans="1:2" x14ac:dyDescent="0.25">
      <c r="A28" s="2" t="s">
        <v>112</v>
      </c>
      <c r="B28" s="3">
        <f>5815.62</f>
        <v>5815.62</v>
      </c>
    </row>
    <row r="29" spans="1:2" x14ac:dyDescent="0.25">
      <c r="A29" s="2" t="s">
        <v>111</v>
      </c>
      <c r="B29" s="5">
        <f>((B26)+(B27))+(B28)</f>
        <v>7452.8</v>
      </c>
    </row>
    <row r="30" spans="1:2" x14ac:dyDescent="0.25">
      <c r="A30" s="2" t="s">
        <v>110</v>
      </c>
      <c r="B30" s="5">
        <f>((B20)+(B24))+(B29)</f>
        <v>2377743.3000000003</v>
      </c>
    </row>
    <row r="31" spans="1:2" x14ac:dyDescent="0.25">
      <c r="A31" s="2" t="s">
        <v>109</v>
      </c>
      <c r="B31" s="3"/>
    </row>
    <row r="32" spans="1:2" x14ac:dyDescent="0.25">
      <c r="A32" s="2" t="s">
        <v>108</v>
      </c>
      <c r="B32" s="3">
        <f>103188.42</f>
        <v>103188.42</v>
      </c>
    </row>
    <row r="33" spans="1:2" x14ac:dyDescent="0.25">
      <c r="A33" s="2" t="s">
        <v>107</v>
      </c>
      <c r="B33" s="3">
        <f>0</f>
        <v>0</v>
      </c>
    </row>
    <row r="34" spans="1:2" x14ac:dyDescent="0.25">
      <c r="A34" s="2" t="s">
        <v>106</v>
      </c>
      <c r="B34" s="3">
        <f>92962.9</f>
        <v>92962.9</v>
      </c>
    </row>
    <row r="35" spans="1:2" x14ac:dyDescent="0.25">
      <c r="A35" s="2" t="s">
        <v>105</v>
      </c>
      <c r="B35" s="3">
        <f>-130759.62</f>
        <v>-130759.62</v>
      </c>
    </row>
    <row r="36" spans="1:2" x14ac:dyDescent="0.25">
      <c r="A36" s="2" t="s">
        <v>104</v>
      </c>
      <c r="B36" s="5">
        <f>(((B32)+(B33))+(B34))+(B35)</f>
        <v>65391.700000000012</v>
      </c>
    </row>
    <row r="37" spans="1:2" x14ac:dyDescent="0.25">
      <c r="A37" s="2" t="s">
        <v>103</v>
      </c>
      <c r="B37" s="3"/>
    </row>
    <row r="38" spans="1:2" x14ac:dyDescent="0.25">
      <c r="A38" s="2" t="s">
        <v>102</v>
      </c>
      <c r="B38" s="3">
        <f>0</f>
        <v>0</v>
      </c>
    </row>
    <row r="39" spans="1:2" x14ac:dyDescent="0.25">
      <c r="A39" s="2" t="s">
        <v>101</v>
      </c>
      <c r="B39" s="3">
        <f>0</f>
        <v>0</v>
      </c>
    </row>
    <row r="40" spans="1:2" x14ac:dyDescent="0.25">
      <c r="A40" s="2" t="s">
        <v>100</v>
      </c>
      <c r="B40" s="3">
        <f>1070000</f>
        <v>1070000</v>
      </c>
    </row>
    <row r="41" spans="1:2" x14ac:dyDescent="0.25">
      <c r="A41" s="2" t="s">
        <v>99</v>
      </c>
      <c r="B41" s="3">
        <f>154933.75</f>
        <v>154933.75</v>
      </c>
    </row>
    <row r="42" spans="1:2" x14ac:dyDescent="0.25">
      <c r="A42" s="2" t="s">
        <v>98</v>
      </c>
      <c r="B42" s="5">
        <f>(((B38)+(B39))+(B40))+(B41)</f>
        <v>1224933.75</v>
      </c>
    </row>
    <row r="43" spans="1:2" x14ac:dyDescent="0.25">
      <c r="A43" s="2" t="s">
        <v>97</v>
      </c>
      <c r="B43" s="5">
        <f>((B30)+(B36))+(B42)</f>
        <v>3668068.7500000005</v>
      </c>
    </row>
    <row r="44" spans="1:2" x14ac:dyDescent="0.25">
      <c r="A44" s="2" t="s">
        <v>96</v>
      </c>
      <c r="B44" s="3"/>
    </row>
    <row r="45" spans="1:2" x14ac:dyDescent="0.25">
      <c r="A45" s="2" t="s">
        <v>95</v>
      </c>
      <c r="B45" s="3"/>
    </row>
    <row r="46" spans="1:2" x14ac:dyDescent="0.25">
      <c r="A46" s="2" t="s">
        <v>94</v>
      </c>
      <c r="B46" s="3"/>
    </row>
    <row r="47" spans="1:2" x14ac:dyDescent="0.25">
      <c r="A47" s="2" t="s">
        <v>93</v>
      </c>
      <c r="B47" s="3"/>
    </row>
    <row r="48" spans="1:2" x14ac:dyDescent="0.25">
      <c r="A48" s="2" t="s">
        <v>92</v>
      </c>
      <c r="B48" s="3">
        <f>-683.77</f>
        <v>-683.77</v>
      </c>
    </row>
    <row r="49" spans="1:2" x14ac:dyDescent="0.25">
      <c r="A49" s="2" t="s">
        <v>91</v>
      </c>
      <c r="B49" s="5">
        <f>B48</f>
        <v>-683.77</v>
      </c>
    </row>
    <row r="50" spans="1:2" x14ac:dyDescent="0.25">
      <c r="A50" s="2" t="s">
        <v>90</v>
      </c>
      <c r="B50" s="3"/>
    </row>
    <row r="51" spans="1:2" x14ac:dyDescent="0.25">
      <c r="A51" s="2" t="s">
        <v>89</v>
      </c>
      <c r="B51" s="3">
        <f>11831.37</f>
        <v>11831.37</v>
      </c>
    </row>
    <row r="52" spans="1:2" x14ac:dyDescent="0.25">
      <c r="A52" s="2" t="s">
        <v>88</v>
      </c>
      <c r="B52" s="3">
        <f>60570.68</f>
        <v>60570.68</v>
      </c>
    </row>
    <row r="53" spans="1:2" x14ac:dyDescent="0.25">
      <c r="A53" s="2" t="s">
        <v>87</v>
      </c>
      <c r="B53" s="3">
        <f>0</f>
        <v>0</v>
      </c>
    </row>
    <row r="54" spans="1:2" x14ac:dyDescent="0.25">
      <c r="A54" s="2" t="s">
        <v>86</v>
      </c>
      <c r="B54" s="3">
        <f>-250</f>
        <v>-250</v>
      </c>
    </row>
    <row r="55" spans="1:2" x14ac:dyDescent="0.25">
      <c r="A55" s="2" t="s">
        <v>85</v>
      </c>
      <c r="B55" s="3">
        <f>3500</f>
        <v>3500</v>
      </c>
    </row>
    <row r="56" spans="1:2" x14ac:dyDescent="0.25">
      <c r="A56" s="2" t="s">
        <v>84</v>
      </c>
      <c r="B56" s="3">
        <f>0</f>
        <v>0</v>
      </c>
    </row>
    <row r="57" spans="1:2" x14ac:dyDescent="0.25">
      <c r="A57" s="2" t="s">
        <v>83</v>
      </c>
      <c r="B57" s="3">
        <f>2675.17</f>
        <v>2675.17</v>
      </c>
    </row>
    <row r="58" spans="1:2" x14ac:dyDescent="0.25">
      <c r="A58" s="2" t="s">
        <v>82</v>
      </c>
      <c r="B58" s="5">
        <f>((((((B51)+(B52))+(B53))+(B54))+(B55))+(B56))+(B57)</f>
        <v>78327.22</v>
      </c>
    </row>
    <row r="59" spans="1:2" x14ac:dyDescent="0.25">
      <c r="A59" s="2" t="s">
        <v>81</v>
      </c>
      <c r="B59" s="5">
        <f>(B49)+(B58)</f>
        <v>77643.45</v>
      </c>
    </row>
    <row r="60" spans="1:2" x14ac:dyDescent="0.25">
      <c r="A60" s="2" t="s">
        <v>80</v>
      </c>
      <c r="B60" s="3"/>
    </row>
    <row r="61" spans="1:2" x14ac:dyDescent="0.25">
      <c r="A61" s="2" t="s">
        <v>79</v>
      </c>
      <c r="B61" s="3">
        <f>0</f>
        <v>0</v>
      </c>
    </row>
    <row r="62" spans="1:2" x14ac:dyDescent="0.25">
      <c r="A62" s="2" t="s">
        <v>78</v>
      </c>
      <c r="B62" s="5">
        <f>B61</f>
        <v>0</v>
      </c>
    </row>
    <row r="63" spans="1:2" x14ac:dyDescent="0.25">
      <c r="A63" s="2" t="s">
        <v>77</v>
      </c>
      <c r="B63" s="5">
        <f>(B59)+(B62)</f>
        <v>77643.45</v>
      </c>
    </row>
    <row r="64" spans="1:2" x14ac:dyDescent="0.25">
      <c r="A64" s="2" t="s">
        <v>76</v>
      </c>
      <c r="B64" s="3"/>
    </row>
    <row r="65" spans="1:2" x14ac:dyDescent="0.25">
      <c r="A65" s="2" t="s">
        <v>75</v>
      </c>
      <c r="B65" s="3">
        <f>530591.1</f>
        <v>530591.1</v>
      </c>
    </row>
    <row r="66" spans="1:2" x14ac:dyDescent="0.25">
      <c r="A66" s="2" t="s">
        <v>74</v>
      </c>
      <c r="B66" s="3">
        <f>3135565.68</f>
        <v>3135565.68</v>
      </c>
    </row>
    <row r="67" spans="1:2" x14ac:dyDescent="0.25">
      <c r="A67" s="2" t="s">
        <v>73</v>
      </c>
      <c r="B67" s="3">
        <f>-52094.34</f>
        <v>-52094.34</v>
      </c>
    </row>
    <row r="68" spans="1:2" x14ac:dyDescent="0.25">
      <c r="A68" s="2" t="s">
        <v>72</v>
      </c>
      <c r="B68" s="5">
        <f>((B65)+(B66))+(B67)</f>
        <v>3614062.4400000004</v>
      </c>
    </row>
    <row r="69" spans="1:2" x14ac:dyDescent="0.25">
      <c r="A69" s="2" t="s">
        <v>71</v>
      </c>
      <c r="B69" s="5">
        <f>(B63)+(B68)</f>
        <v>3691705.8900000006</v>
      </c>
    </row>
    <row r="70" spans="1:2" x14ac:dyDescent="0.25">
      <c r="A70" s="2"/>
      <c r="B70" s="3"/>
    </row>
    <row r="73" spans="1:2" x14ac:dyDescent="0.25">
      <c r="A73" s="9"/>
      <c r="B73" s="10"/>
    </row>
  </sheetData>
  <mergeCells count="4">
    <mergeCell ref="A73:B73"/>
    <mergeCell ref="A1:B1"/>
    <mergeCell ref="A2:B2"/>
    <mergeCell ref="A3:B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64574-B0A7-4FC1-B7CF-6B96F133A952}">
  <dimension ref="A1:D74"/>
  <sheetViews>
    <sheetView topLeftCell="A55" workbookViewId="0">
      <selection activeCell="A74" sqref="A74:D74"/>
    </sheetView>
  </sheetViews>
  <sheetFormatPr defaultRowHeight="15" x14ac:dyDescent="0.25"/>
  <cols>
    <col min="1" max="1" width="41.28515625" customWidth="1"/>
    <col min="2" max="2" width="18.5703125" customWidth="1"/>
    <col min="3" max="3" width="26" customWidth="1"/>
    <col min="4" max="4" width="13.7109375" customWidth="1"/>
  </cols>
  <sheetData>
    <row r="1" spans="1:4" ht="18" x14ac:dyDescent="0.25">
      <c r="A1" s="14" t="s">
        <v>68</v>
      </c>
      <c r="B1" s="14"/>
      <c r="C1" s="14"/>
      <c r="D1" s="14"/>
    </row>
    <row r="2" spans="1:4" ht="18" x14ac:dyDescent="0.25">
      <c r="A2" s="14" t="s">
        <v>136</v>
      </c>
      <c r="B2" s="14"/>
      <c r="C2" s="14"/>
      <c r="D2" s="14"/>
    </row>
    <row r="3" spans="1:4" x14ac:dyDescent="0.25">
      <c r="A3" s="15" t="s">
        <v>135</v>
      </c>
      <c r="B3" s="15"/>
      <c r="C3" s="15"/>
      <c r="D3" s="15"/>
    </row>
    <row r="5" spans="1:4" x14ac:dyDescent="0.25">
      <c r="B5" s="13" t="s">
        <v>0</v>
      </c>
      <c r="C5" s="10"/>
      <c r="D5" s="10"/>
    </row>
    <row r="6" spans="1:4" x14ac:dyDescent="0.25">
      <c r="B6" s="1" t="s">
        <v>189</v>
      </c>
      <c r="C6" s="1" t="s">
        <v>188</v>
      </c>
      <c r="D6" s="1" t="s">
        <v>187</v>
      </c>
    </row>
    <row r="7" spans="1:4" x14ac:dyDescent="0.25">
      <c r="A7" s="2" t="s">
        <v>134</v>
      </c>
      <c r="B7" s="3"/>
      <c r="C7" s="3"/>
      <c r="D7" s="3"/>
    </row>
    <row r="8" spans="1:4" x14ac:dyDescent="0.25">
      <c r="A8" s="2" t="s">
        <v>133</v>
      </c>
      <c r="B8" s="3"/>
      <c r="C8" s="3"/>
      <c r="D8" s="3"/>
    </row>
    <row r="9" spans="1:4" x14ac:dyDescent="0.25">
      <c r="A9" s="2" t="s">
        <v>132</v>
      </c>
      <c r="B9" s="3"/>
      <c r="C9" s="3"/>
      <c r="D9" s="3"/>
    </row>
    <row r="10" spans="1:4" x14ac:dyDescent="0.25">
      <c r="A10" s="2" t="s">
        <v>131</v>
      </c>
      <c r="B10" s="3">
        <f>312983.03</f>
        <v>312983.03000000003</v>
      </c>
      <c r="C10" s="3">
        <f>615285.98</f>
        <v>615285.98</v>
      </c>
      <c r="D10" s="3">
        <f t="shared" ref="D10:D21" si="0">(B10)-(C10)</f>
        <v>-302302.94999999995</v>
      </c>
    </row>
    <row r="11" spans="1:4" x14ac:dyDescent="0.25">
      <c r="A11" s="2" t="s">
        <v>130</v>
      </c>
      <c r="B11" s="3">
        <f>275170.74</f>
        <v>275170.74</v>
      </c>
      <c r="C11" s="3">
        <f>268779.02</f>
        <v>268779.02</v>
      </c>
      <c r="D11" s="3">
        <f t="shared" si="0"/>
        <v>6391.7199999999721</v>
      </c>
    </row>
    <row r="12" spans="1:4" x14ac:dyDescent="0.25">
      <c r="A12" s="2" t="s">
        <v>129</v>
      </c>
      <c r="B12" s="3">
        <f>10</f>
        <v>10</v>
      </c>
      <c r="C12" s="3">
        <f>248548.89</f>
        <v>248548.89</v>
      </c>
      <c r="D12" s="3">
        <f t="shared" si="0"/>
        <v>-248538.89</v>
      </c>
    </row>
    <row r="13" spans="1:4" x14ac:dyDescent="0.25">
      <c r="A13" s="2" t="s">
        <v>128</v>
      </c>
      <c r="B13" s="3">
        <f>0</f>
        <v>0</v>
      </c>
      <c r="C13" s="3">
        <f>238603.9</f>
        <v>238603.9</v>
      </c>
      <c r="D13" s="3">
        <f t="shared" si="0"/>
        <v>-238603.9</v>
      </c>
    </row>
    <row r="14" spans="1:4" x14ac:dyDescent="0.25">
      <c r="A14" s="2" t="s">
        <v>127</v>
      </c>
      <c r="B14" s="3">
        <f>523621.8</f>
        <v>523621.8</v>
      </c>
      <c r="C14" s="3">
        <f>28646.77</f>
        <v>28646.77</v>
      </c>
      <c r="D14" s="3">
        <f t="shared" si="0"/>
        <v>494975.02999999997</v>
      </c>
    </row>
    <row r="15" spans="1:4" x14ac:dyDescent="0.25">
      <c r="A15" s="2" t="s">
        <v>126</v>
      </c>
      <c r="B15" s="3">
        <f>0</f>
        <v>0</v>
      </c>
      <c r="C15" s="3">
        <f>268436.02</f>
        <v>268436.02</v>
      </c>
      <c r="D15" s="3">
        <f t="shared" si="0"/>
        <v>-268436.02</v>
      </c>
    </row>
    <row r="16" spans="1:4" x14ac:dyDescent="0.25">
      <c r="A16" s="2" t="s">
        <v>125</v>
      </c>
      <c r="B16" s="3">
        <f>0</f>
        <v>0</v>
      </c>
      <c r="C16" s="3">
        <f>263021.99</f>
        <v>263021.99</v>
      </c>
      <c r="D16" s="3">
        <f t="shared" si="0"/>
        <v>-263021.99</v>
      </c>
    </row>
    <row r="17" spans="1:4" x14ac:dyDescent="0.25">
      <c r="A17" s="2" t="s">
        <v>124</v>
      </c>
      <c r="B17" s="3">
        <f>1006831.6</f>
        <v>1006831.6</v>
      </c>
      <c r="C17" s="3"/>
      <c r="D17" s="3">
        <f t="shared" si="0"/>
        <v>1006831.6</v>
      </c>
    </row>
    <row r="18" spans="1:4" x14ac:dyDescent="0.25">
      <c r="A18" s="2" t="s">
        <v>123</v>
      </c>
      <c r="B18" s="3">
        <f>0</f>
        <v>0</v>
      </c>
      <c r="C18" s="3">
        <f>246475.35</f>
        <v>246475.35</v>
      </c>
      <c r="D18" s="3">
        <f t="shared" si="0"/>
        <v>-246475.35</v>
      </c>
    </row>
    <row r="19" spans="1:4" x14ac:dyDescent="0.25">
      <c r="A19" s="2" t="s">
        <v>122</v>
      </c>
      <c r="B19" s="3">
        <f>258544.7</f>
        <v>258544.7</v>
      </c>
      <c r="C19" s="3">
        <f>258544.7</f>
        <v>258544.7</v>
      </c>
      <c r="D19" s="3">
        <f t="shared" si="0"/>
        <v>0</v>
      </c>
    </row>
    <row r="20" spans="1:4" x14ac:dyDescent="0.25">
      <c r="A20" s="2" t="s">
        <v>121</v>
      </c>
      <c r="B20" s="3">
        <f>1297.7</f>
        <v>1297.7</v>
      </c>
      <c r="C20" s="3">
        <f>9895.83</f>
        <v>9895.83</v>
      </c>
      <c r="D20" s="3">
        <f t="shared" si="0"/>
        <v>-8598.1299999999992</v>
      </c>
    </row>
    <row r="21" spans="1:4" x14ac:dyDescent="0.25">
      <c r="A21" s="2" t="s">
        <v>120</v>
      </c>
      <c r="B21" s="5">
        <f>((((((((((B10)+(B11))+(B12))+(B13))+(B14))+(B15))+(B16))+(B17))+(B18))+(B19))+(B20)</f>
        <v>2378459.5700000003</v>
      </c>
      <c r="C21" s="5">
        <f>((((((((((C10)+(C11))+(C12))+(C13))+(C14))+(C15))+(C16))+(C17))+(C18))+(C19))+(C20)</f>
        <v>2446238.4500000002</v>
      </c>
      <c r="D21" s="5">
        <f t="shared" si="0"/>
        <v>-67778.879999999888</v>
      </c>
    </row>
    <row r="22" spans="1:4" x14ac:dyDescent="0.25">
      <c r="A22" s="2" t="s">
        <v>119</v>
      </c>
      <c r="B22" s="3"/>
      <c r="C22" s="3"/>
      <c r="D22" s="3"/>
    </row>
    <row r="23" spans="1:4" x14ac:dyDescent="0.25">
      <c r="A23" s="2" t="s">
        <v>118</v>
      </c>
      <c r="B23" s="3">
        <f>-46557.72</f>
        <v>-46557.72</v>
      </c>
      <c r="C23" s="3">
        <f>-23970.04</f>
        <v>-23970.04</v>
      </c>
      <c r="D23" s="3">
        <f>(B23)-(C23)</f>
        <v>-22587.68</v>
      </c>
    </row>
    <row r="24" spans="1:4" x14ac:dyDescent="0.25">
      <c r="A24" s="2" t="s">
        <v>117</v>
      </c>
      <c r="B24" s="3">
        <f>38388.65</f>
        <v>38388.65</v>
      </c>
      <c r="C24" s="3">
        <f>-15673.35</f>
        <v>-15673.35</v>
      </c>
      <c r="D24" s="3">
        <f>(B24)-(C24)</f>
        <v>54062</v>
      </c>
    </row>
    <row r="25" spans="1:4" x14ac:dyDescent="0.25">
      <c r="A25" s="2" t="s">
        <v>116</v>
      </c>
      <c r="B25" s="5">
        <f>(B23)+(B24)</f>
        <v>-8169.07</v>
      </c>
      <c r="C25" s="5">
        <f>(C23)+(C24)</f>
        <v>-39643.39</v>
      </c>
      <c r="D25" s="5">
        <f>(B25)-(C25)</f>
        <v>31474.32</v>
      </c>
    </row>
    <row r="26" spans="1:4" x14ac:dyDescent="0.25">
      <c r="A26" s="2" t="s">
        <v>115</v>
      </c>
      <c r="B26" s="3"/>
      <c r="C26" s="3"/>
      <c r="D26" s="3"/>
    </row>
    <row r="27" spans="1:4" x14ac:dyDescent="0.25">
      <c r="A27" s="2" t="s">
        <v>114</v>
      </c>
      <c r="B27" s="3">
        <f>1637.18</f>
        <v>1637.18</v>
      </c>
      <c r="C27" s="3">
        <f>0</f>
        <v>0</v>
      </c>
      <c r="D27" s="3">
        <f>(B27)-(C27)</f>
        <v>1637.18</v>
      </c>
    </row>
    <row r="28" spans="1:4" x14ac:dyDescent="0.25">
      <c r="A28" s="2" t="s">
        <v>113</v>
      </c>
      <c r="B28" s="3">
        <f>0</f>
        <v>0</v>
      </c>
      <c r="C28" s="3">
        <f>0</f>
        <v>0</v>
      </c>
      <c r="D28" s="3">
        <f>(B28)-(C28)</f>
        <v>0</v>
      </c>
    </row>
    <row r="29" spans="1:4" x14ac:dyDescent="0.25">
      <c r="A29" s="2" t="s">
        <v>112</v>
      </c>
      <c r="B29" s="3">
        <f>5815.62</f>
        <v>5815.62</v>
      </c>
      <c r="C29" s="3">
        <f>0</f>
        <v>0</v>
      </c>
      <c r="D29" s="3">
        <f>(B29)-(C29)</f>
        <v>5815.62</v>
      </c>
    </row>
    <row r="30" spans="1:4" x14ac:dyDescent="0.25">
      <c r="A30" s="2" t="s">
        <v>111</v>
      </c>
      <c r="B30" s="5">
        <f>((B27)+(B28))+(B29)</f>
        <v>7452.8</v>
      </c>
      <c r="C30" s="5">
        <f>((C27)+(C28))+(C29)</f>
        <v>0</v>
      </c>
      <c r="D30" s="5">
        <f>(B30)-(C30)</f>
        <v>7452.8</v>
      </c>
    </row>
    <row r="31" spans="1:4" x14ac:dyDescent="0.25">
      <c r="A31" s="2" t="s">
        <v>110</v>
      </c>
      <c r="B31" s="5">
        <f>((B21)+(B25))+(B30)</f>
        <v>2377743.3000000003</v>
      </c>
      <c r="C31" s="5">
        <f>((C21)+(C25))+(C30)</f>
        <v>2406595.06</v>
      </c>
      <c r="D31" s="5">
        <f>(B31)-(C31)</f>
        <v>-28851.759999999776</v>
      </c>
    </row>
    <row r="32" spans="1:4" x14ac:dyDescent="0.25">
      <c r="A32" s="2" t="s">
        <v>109</v>
      </c>
      <c r="B32" s="3"/>
      <c r="C32" s="3"/>
      <c r="D32" s="3"/>
    </row>
    <row r="33" spans="1:4" x14ac:dyDescent="0.25">
      <c r="A33" s="2" t="s">
        <v>108</v>
      </c>
      <c r="B33" s="3">
        <f>103188.42</f>
        <v>103188.42</v>
      </c>
      <c r="C33" s="3">
        <f>75894.72</f>
        <v>75894.720000000001</v>
      </c>
      <c r="D33" s="3">
        <f>(B33)-(C33)</f>
        <v>27293.699999999997</v>
      </c>
    </row>
    <row r="34" spans="1:4" x14ac:dyDescent="0.25">
      <c r="A34" s="2" t="s">
        <v>107</v>
      </c>
      <c r="B34" s="3">
        <f>0</f>
        <v>0</v>
      </c>
      <c r="C34" s="3">
        <f>0</f>
        <v>0</v>
      </c>
      <c r="D34" s="3">
        <f>(B34)-(C34)</f>
        <v>0</v>
      </c>
    </row>
    <row r="35" spans="1:4" x14ac:dyDescent="0.25">
      <c r="A35" s="2" t="s">
        <v>106</v>
      </c>
      <c r="B35" s="3">
        <f>92962.9</f>
        <v>92962.9</v>
      </c>
      <c r="C35" s="3">
        <f>68863.11</f>
        <v>68863.11</v>
      </c>
      <c r="D35" s="3">
        <f>(B35)-(C35)</f>
        <v>24099.789999999994</v>
      </c>
    </row>
    <row r="36" spans="1:4" x14ac:dyDescent="0.25">
      <c r="A36" s="2" t="s">
        <v>105</v>
      </c>
      <c r="B36" s="3">
        <f>-130759.62</f>
        <v>-130759.62</v>
      </c>
      <c r="C36" s="3">
        <f>-112016.62</f>
        <v>-112016.62</v>
      </c>
      <c r="D36" s="3">
        <f>(B36)-(C36)</f>
        <v>-18743</v>
      </c>
    </row>
    <row r="37" spans="1:4" x14ac:dyDescent="0.25">
      <c r="A37" s="2" t="s">
        <v>104</v>
      </c>
      <c r="B37" s="5">
        <f>(((B33)+(B34))+(B35))+(B36)</f>
        <v>65391.700000000012</v>
      </c>
      <c r="C37" s="5">
        <f>(((C33)+(C34))+(C35))+(C36)</f>
        <v>32741.210000000021</v>
      </c>
      <c r="D37" s="5">
        <f>(B37)-(C37)</f>
        <v>32650.489999999991</v>
      </c>
    </row>
    <row r="38" spans="1:4" x14ac:dyDescent="0.25">
      <c r="A38" s="2" t="s">
        <v>103</v>
      </c>
      <c r="B38" s="3"/>
      <c r="C38" s="3"/>
      <c r="D38" s="3"/>
    </row>
    <row r="39" spans="1:4" x14ac:dyDescent="0.25">
      <c r="A39" s="2" t="s">
        <v>102</v>
      </c>
      <c r="B39" s="3">
        <f>0</f>
        <v>0</v>
      </c>
      <c r="C39" s="3">
        <f>0</f>
        <v>0</v>
      </c>
      <c r="D39" s="3">
        <f t="shared" ref="D39:D44" si="1">(B39)-(C39)</f>
        <v>0</v>
      </c>
    </row>
    <row r="40" spans="1:4" x14ac:dyDescent="0.25">
      <c r="A40" s="2" t="s">
        <v>101</v>
      </c>
      <c r="B40" s="3">
        <f>0</f>
        <v>0</v>
      </c>
      <c r="C40" s="3">
        <f>0</f>
        <v>0</v>
      </c>
      <c r="D40" s="3">
        <f t="shared" si="1"/>
        <v>0</v>
      </c>
    </row>
    <row r="41" spans="1:4" x14ac:dyDescent="0.25">
      <c r="A41" s="2" t="s">
        <v>100</v>
      </c>
      <c r="B41" s="3">
        <f>1070000</f>
        <v>1070000</v>
      </c>
      <c r="C41" s="3">
        <f>1070000</f>
        <v>1070000</v>
      </c>
      <c r="D41" s="3">
        <f t="shared" si="1"/>
        <v>0</v>
      </c>
    </row>
    <row r="42" spans="1:4" x14ac:dyDescent="0.25">
      <c r="A42" s="2" t="s">
        <v>99</v>
      </c>
      <c r="B42" s="3">
        <f>154933.75</f>
        <v>154933.75</v>
      </c>
      <c r="C42" s="3">
        <f>154933.75</f>
        <v>154933.75</v>
      </c>
      <c r="D42" s="3">
        <f t="shared" si="1"/>
        <v>0</v>
      </c>
    </row>
    <row r="43" spans="1:4" x14ac:dyDescent="0.25">
      <c r="A43" s="2" t="s">
        <v>98</v>
      </c>
      <c r="B43" s="5">
        <f>(((B39)+(B40))+(B41))+(B42)</f>
        <v>1224933.75</v>
      </c>
      <c r="C43" s="5">
        <f>(((C39)+(C40))+(C41))+(C42)</f>
        <v>1224933.75</v>
      </c>
      <c r="D43" s="5">
        <f t="shared" si="1"/>
        <v>0</v>
      </c>
    </row>
    <row r="44" spans="1:4" x14ac:dyDescent="0.25">
      <c r="A44" s="2" t="s">
        <v>97</v>
      </c>
      <c r="B44" s="5">
        <f>((B31)+(B37))+(B43)</f>
        <v>3668068.7500000005</v>
      </c>
      <c r="C44" s="5">
        <f>((C31)+(C37))+(C43)</f>
        <v>3664270.02</v>
      </c>
      <c r="D44" s="5">
        <f t="shared" si="1"/>
        <v>3798.730000000447</v>
      </c>
    </row>
    <row r="45" spans="1:4" x14ac:dyDescent="0.25">
      <c r="A45" s="2" t="s">
        <v>96</v>
      </c>
      <c r="B45" s="3"/>
      <c r="C45" s="3"/>
      <c r="D45" s="3"/>
    </row>
    <row r="46" spans="1:4" x14ac:dyDescent="0.25">
      <c r="A46" s="2" t="s">
        <v>95</v>
      </c>
      <c r="B46" s="3"/>
      <c r="C46" s="3"/>
      <c r="D46" s="3"/>
    </row>
    <row r="47" spans="1:4" x14ac:dyDescent="0.25">
      <c r="A47" s="2" t="s">
        <v>94</v>
      </c>
      <c r="B47" s="3"/>
      <c r="C47" s="3"/>
      <c r="D47" s="3"/>
    </row>
    <row r="48" spans="1:4" x14ac:dyDescent="0.25">
      <c r="A48" s="2" t="s">
        <v>93</v>
      </c>
      <c r="B48" s="3"/>
      <c r="C48" s="3"/>
      <c r="D48" s="3"/>
    </row>
    <row r="49" spans="1:4" x14ac:dyDescent="0.25">
      <c r="A49" s="2" t="s">
        <v>92</v>
      </c>
      <c r="B49" s="3">
        <f>-683.77</f>
        <v>-683.77</v>
      </c>
      <c r="C49" s="3">
        <f>-683.77</f>
        <v>-683.77</v>
      </c>
      <c r="D49" s="3">
        <f>(B49)-(C49)</f>
        <v>0</v>
      </c>
    </row>
    <row r="50" spans="1:4" x14ac:dyDescent="0.25">
      <c r="A50" s="2" t="s">
        <v>91</v>
      </c>
      <c r="B50" s="5">
        <f>B49</f>
        <v>-683.77</v>
      </c>
      <c r="C50" s="5">
        <f>C49</f>
        <v>-683.77</v>
      </c>
      <c r="D50" s="5">
        <f>(B50)-(C50)</f>
        <v>0</v>
      </c>
    </row>
    <row r="51" spans="1:4" x14ac:dyDescent="0.25">
      <c r="A51" s="2" t="s">
        <v>90</v>
      </c>
      <c r="B51" s="3"/>
      <c r="C51" s="3"/>
      <c r="D51" s="3"/>
    </row>
    <row r="52" spans="1:4" x14ac:dyDescent="0.25">
      <c r="A52" s="2" t="s">
        <v>89</v>
      </c>
      <c r="B52" s="3">
        <f>11831.37</f>
        <v>11831.37</v>
      </c>
      <c r="C52" s="3">
        <f>13116.37</f>
        <v>13116.37</v>
      </c>
      <c r="D52" s="3">
        <f t="shared" ref="D52:D60" si="2">(B52)-(C52)</f>
        <v>-1285</v>
      </c>
    </row>
    <row r="53" spans="1:4" x14ac:dyDescent="0.25">
      <c r="A53" s="2" t="s">
        <v>88</v>
      </c>
      <c r="B53" s="3">
        <f>60570.68</f>
        <v>60570.68</v>
      </c>
      <c r="C53" s="3">
        <f>2399.8</f>
        <v>2399.8000000000002</v>
      </c>
      <c r="D53" s="3">
        <f t="shared" si="2"/>
        <v>58170.879999999997</v>
      </c>
    </row>
    <row r="54" spans="1:4" x14ac:dyDescent="0.25">
      <c r="A54" s="2" t="s">
        <v>87</v>
      </c>
      <c r="B54" s="3">
        <f>0</f>
        <v>0</v>
      </c>
      <c r="C54" s="3">
        <f>12000</f>
        <v>12000</v>
      </c>
      <c r="D54" s="3">
        <f t="shared" si="2"/>
        <v>-12000</v>
      </c>
    </row>
    <row r="55" spans="1:4" x14ac:dyDescent="0.25">
      <c r="A55" s="2" t="s">
        <v>86</v>
      </c>
      <c r="B55" s="3">
        <f>-250</f>
        <v>-250</v>
      </c>
      <c r="C55" s="3">
        <f>0</f>
        <v>0</v>
      </c>
      <c r="D55" s="3">
        <f t="shared" si="2"/>
        <v>-250</v>
      </c>
    </row>
    <row r="56" spans="1:4" x14ac:dyDescent="0.25">
      <c r="A56" s="2" t="s">
        <v>85</v>
      </c>
      <c r="B56" s="3">
        <f>3500</f>
        <v>3500</v>
      </c>
      <c r="C56" s="3">
        <f>3500</f>
        <v>3500</v>
      </c>
      <c r="D56" s="3">
        <f t="shared" si="2"/>
        <v>0</v>
      </c>
    </row>
    <row r="57" spans="1:4" x14ac:dyDescent="0.25">
      <c r="A57" s="2" t="s">
        <v>84</v>
      </c>
      <c r="B57" s="3">
        <f>0</f>
        <v>0</v>
      </c>
      <c r="C57" s="3">
        <f>0</f>
        <v>0</v>
      </c>
      <c r="D57" s="3">
        <f t="shared" si="2"/>
        <v>0</v>
      </c>
    </row>
    <row r="58" spans="1:4" x14ac:dyDescent="0.25">
      <c r="A58" s="2" t="s">
        <v>83</v>
      </c>
      <c r="B58" s="3">
        <f>2675.17</f>
        <v>2675.17</v>
      </c>
      <c r="C58" s="3">
        <f>-5420.23</f>
        <v>-5420.23</v>
      </c>
      <c r="D58" s="3">
        <f t="shared" si="2"/>
        <v>8095.4</v>
      </c>
    </row>
    <row r="59" spans="1:4" x14ac:dyDescent="0.25">
      <c r="A59" s="2" t="s">
        <v>82</v>
      </c>
      <c r="B59" s="5">
        <f>((((((B52)+(B53))+(B54))+(B55))+(B56))+(B57))+(B58)</f>
        <v>78327.22</v>
      </c>
      <c r="C59" s="5">
        <f>((((((C52)+(C53))+(C54))+(C55))+(C56))+(C57))+(C58)</f>
        <v>25595.940000000002</v>
      </c>
      <c r="D59" s="5">
        <f t="shared" si="2"/>
        <v>52731.28</v>
      </c>
    </row>
    <row r="60" spans="1:4" x14ac:dyDescent="0.25">
      <c r="A60" s="2" t="s">
        <v>81</v>
      </c>
      <c r="B60" s="5">
        <f>(B50)+(B59)</f>
        <v>77643.45</v>
      </c>
      <c r="C60" s="5">
        <f>(C50)+(C59)</f>
        <v>24912.170000000002</v>
      </c>
      <c r="D60" s="5">
        <f t="shared" si="2"/>
        <v>52731.28</v>
      </c>
    </row>
    <row r="61" spans="1:4" x14ac:dyDescent="0.25">
      <c r="A61" s="2" t="s">
        <v>80</v>
      </c>
      <c r="B61" s="3"/>
      <c r="C61" s="3"/>
      <c r="D61" s="3"/>
    </row>
    <row r="62" spans="1:4" x14ac:dyDescent="0.25">
      <c r="A62" s="2" t="s">
        <v>79</v>
      </c>
      <c r="B62" s="3">
        <f>0</f>
        <v>0</v>
      </c>
      <c r="C62" s="3">
        <f>0</f>
        <v>0</v>
      </c>
      <c r="D62" s="3">
        <f>(B62)-(C62)</f>
        <v>0</v>
      </c>
    </row>
    <row r="63" spans="1:4" x14ac:dyDescent="0.25">
      <c r="A63" s="2" t="s">
        <v>78</v>
      </c>
      <c r="B63" s="5">
        <f>B62</f>
        <v>0</v>
      </c>
      <c r="C63" s="5">
        <f>C62</f>
        <v>0</v>
      </c>
      <c r="D63" s="5">
        <f>(B63)-(C63)</f>
        <v>0</v>
      </c>
    </row>
    <row r="64" spans="1:4" x14ac:dyDescent="0.25">
      <c r="A64" s="2" t="s">
        <v>77</v>
      </c>
      <c r="B64" s="5">
        <f>(B60)+(B63)</f>
        <v>77643.45</v>
      </c>
      <c r="C64" s="5">
        <f>(C60)+(C63)</f>
        <v>24912.170000000002</v>
      </c>
      <c r="D64" s="5">
        <f>(B64)-(C64)</f>
        <v>52731.28</v>
      </c>
    </row>
    <row r="65" spans="1:4" x14ac:dyDescent="0.25">
      <c r="A65" s="2" t="s">
        <v>76</v>
      </c>
      <c r="B65" s="3"/>
      <c r="C65" s="3"/>
      <c r="D65" s="3"/>
    </row>
    <row r="66" spans="1:4" x14ac:dyDescent="0.25">
      <c r="A66" s="2" t="s">
        <v>75</v>
      </c>
      <c r="B66" s="3">
        <f>530591.1</f>
        <v>530591.1</v>
      </c>
      <c r="C66" s="3">
        <f>475363.1</f>
        <v>475363.1</v>
      </c>
      <c r="D66" s="3">
        <f>(B66)-(C66)</f>
        <v>55228</v>
      </c>
    </row>
    <row r="67" spans="1:4" x14ac:dyDescent="0.25">
      <c r="A67" s="2" t="s">
        <v>74</v>
      </c>
      <c r="B67" s="3">
        <f>3135565.68</f>
        <v>3135565.68</v>
      </c>
      <c r="C67" s="3">
        <f>2844995.68</f>
        <v>2844995.68</v>
      </c>
      <c r="D67" s="3">
        <f>(B67)-(C67)</f>
        <v>290570</v>
      </c>
    </row>
    <row r="68" spans="1:4" x14ac:dyDescent="0.25">
      <c r="A68" s="2" t="s">
        <v>73</v>
      </c>
      <c r="B68" s="3">
        <f>-520394.34</f>
        <v>-520394.34</v>
      </c>
      <c r="C68" s="3">
        <f>318999.07</f>
        <v>318999.07</v>
      </c>
      <c r="D68" s="3">
        <f>(B68)-(C68)</f>
        <v>-839393.41</v>
      </c>
    </row>
    <row r="69" spans="1:4" x14ac:dyDescent="0.25">
      <c r="A69" s="2" t="s">
        <v>72</v>
      </c>
      <c r="B69" s="5">
        <f>((B66)+(B67))+(B68)</f>
        <v>3145762.4400000004</v>
      </c>
      <c r="C69" s="5">
        <f>((C66)+(C67))+(C68)</f>
        <v>3639357.85</v>
      </c>
      <c r="D69" s="5">
        <f>(B69)-(C69)</f>
        <v>-493595.40999999968</v>
      </c>
    </row>
    <row r="70" spans="1:4" x14ac:dyDescent="0.25">
      <c r="A70" s="2" t="s">
        <v>71</v>
      </c>
      <c r="B70" s="5">
        <f>(B64)+(B69)</f>
        <v>3223405.8900000006</v>
      </c>
      <c r="C70" s="5">
        <f>(C64)+(C69)</f>
        <v>3664270.02</v>
      </c>
      <c r="D70" s="5">
        <f>(B70)-(C70)</f>
        <v>-440864.12999999942</v>
      </c>
    </row>
    <row r="71" spans="1:4" x14ac:dyDescent="0.25">
      <c r="A71" s="2"/>
      <c r="B71" s="3"/>
      <c r="C71" s="3"/>
      <c r="D71" s="3"/>
    </row>
    <row r="74" spans="1:4" x14ac:dyDescent="0.25">
      <c r="A74" s="9"/>
      <c r="B74" s="10"/>
      <c r="C74" s="10"/>
      <c r="D74" s="10"/>
    </row>
  </sheetData>
  <mergeCells count="5">
    <mergeCell ref="B5:D5"/>
    <mergeCell ref="A74:D74"/>
    <mergeCell ref="A1:D1"/>
    <mergeCell ref="A2:D2"/>
    <mergeCell ref="A3:D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85B5A-4DF7-422E-BA29-CCDAC7E66FB9}">
  <dimension ref="A1:B28"/>
  <sheetViews>
    <sheetView topLeftCell="A10" workbookViewId="0">
      <selection activeCell="F16" sqref="F16"/>
    </sheetView>
  </sheetViews>
  <sheetFormatPr defaultRowHeight="15" x14ac:dyDescent="0.25"/>
  <cols>
    <col min="1" max="1" width="70.42578125" customWidth="1"/>
    <col min="2" max="2" width="20.5703125" customWidth="1"/>
  </cols>
  <sheetData>
    <row r="1" spans="1:2" ht="18" x14ac:dyDescent="0.25">
      <c r="A1" s="11" t="s">
        <v>68</v>
      </c>
      <c r="B1" s="10"/>
    </row>
    <row r="2" spans="1:2" ht="18" x14ac:dyDescent="0.25">
      <c r="A2" s="11" t="s">
        <v>210</v>
      </c>
      <c r="B2" s="10"/>
    </row>
    <row r="3" spans="1:2" x14ac:dyDescent="0.25">
      <c r="A3" s="12" t="s">
        <v>186</v>
      </c>
      <c r="B3" s="10"/>
    </row>
    <row r="5" spans="1:2" x14ac:dyDescent="0.25">
      <c r="B5" s="1" t="s">
        <v>0</v>
      </c>
    </row>
    <row r="6" spans="1:2" x14ac:dyDescent="0.25">
      <c r="A6" s="2" t="s">
        <v>209</v>
      </c>
      <c r="B6" s="3"/>
    </row>
    <row r="7" spans="1:2" x14ac:dyDescent="0.25">
      <c r="A7" s="2" t="s">
        <v>208</v>
      </c>
      <c r="B7" s="3">
        <f>-8591.14</f>
        <v>-8591.14</v>
      </c>
    </row>
    <row r="8" spans="1:2" x14ac:dyDescent="0.25">
      <c r="A8" s="2" t="s">
        <v>207</v>
      </c>
      <c r="B8" s="3"/>
    </row>
    <row r="9" spans="1:2" x14ac:dyDescent="0.25">
      <c r="A9" s="2" t="s">
        <v>206</v>
      </c>
      <c r="B9" s="3">
        <f>-27260.94</f>
        <v>-27260.94</v>
      </c>
    </row>
    <row r="10" spans="1:2" x14ac:dyDescent="0.25">
      <c r="A10" s="2" t="s">
        <v>205</v>
      </c>
      <c r="B10" s="3">
        <f>-5815.62</f>
        <v>-5815.62</v>
      </c>
    </row>
    <row r="11" spans="1:2" x14ac:dyDescent="0.25">
      <c r="A11" s="2" t="s">
        <v>204</v>
      </c>
      <c r="B11" s="3">
        <f>-39879.4</f>
        <v>-39879.4</v>
      </c>
    </row>
    <row r="12" spans="1:2" x14ac:dyDescent="0.25">
      <c r="A12" s="2" t="s">
        <v>203</v>
      </c>
      <c r="B12" s="3">
        <f>-1300</f>
        <v>-1300</v>
      </c>
    </row>
    <row r="13" spans="1:2" x14ac:dyDescent="0.25">
      <c r="A13" s="2" t="s">
        <v>202</v>
      </c>
      <c r="B13" s="3">
        <f>47330.11</f>
        <v>47330.11</v>
      </c>
    </row>
    <row r="14" spans="1:2" x14ac:dyDescent="0.25">
      <c r="A14" s="2" t="s">
        <v>201</v>
      </c>
      <c r="B14" s="3">
        <f>-250</f>
        <v>-250</v>
      </c>
    </row>
    <row r="15" spans="1:2" x14ac:dyDescent="0.25">
      <c r="A15" s="2" t="s">
        <v>200</v>
      </c>
      <c r="B15" s="3">
        <f>5395.58</f>
        <v>5395.58</v>
      </c>
    </row>
    <row r="16" spans="1:2" x14ac:dyDescent="0.25">
      <c r="A16" s="2" t="s">
        <v>199</v>
      </c>
      <c r="B16" s="5">
        <f>(((((((B8)+(B9))+(B10))+(B11))+(B12))+(B13))+(B14))+(B15)</f>
        <v>-21780.26999999999</v>
      </c>
    </row>
    <row r="17" spans="1:2" x14ac:dyDescent="0.25">
      <c r="A17" s="2" t="s">
        <v>198</v>
      </c>
      <c r="B17" s="5">
        <f>(B7)+(B16)</f>
        <v>-30371.409999999989</v>
      </c>
    </row>
    <row r="18" spans="1:2" x14ac:dyDescent="0.25">
      <c r="A18" s="2" t="s">
        <v>197</v>
      </c>
      <c r="B18" s="3"/>
    </row>
    <row r="19" spans="1:2" x14ac:dyDescent="0.25">
      <c r="A19" s="2" t="s">
        <v>196</v>
      </c>
      <c r="B19" s="3">
        <f>-1644.7</f>
        <v>-1644.7</v>
      </c>
    </row>
    <row r="20" spans="1:2" x14ac:dyDescent="0.25">
      <c r="A20" s="2" t="s">
        <v>195</v>
      </c>
      <c r="B20" s="3">
        <f>-4474.19</f>
        <v>-4474.1899999999996</v>
      </c>
    </row>
    <row r="21" spans="1:2" x14ac:dyDescent="0.25">
      <c r="A21" s="2" t="s">
        <v>194</v>
      </c>
      <c r="B21" s="5">
        <f>(B19)+(B20)</f>
        <v>-6118.8899999999994</v>
      </c>
    </row>
    <row r="22" spans="1:2" x14ac:dyDescent="0.25">
      <c r="A22" s="2" t="s">
        <v>193</v>
      </c>
      <c r="B22" s="5">
        <f>(B17)+(B21)</f>
        <v>-36490.299999999988</v>
      </c>
    </row>
    <row r="23" spans="1:2" x14ac:dyDescent="0.25">
      <c r="A23" s="2" t="s">
        <v>192</v>
      </c>
      <c r="B23" s="3">
        <f>2416587.05</f>
        <v>2416587.0499999998</v>
      </c>
    </row>
    <row r="24" spans="1:2" x14ac:dyDescent="0.25">
      <c r="A24" s="2" t="s">
        <v>191</v>
      </c>
      <c r="B24" s="5">
        <f>(B22)+(B23)</f>
        <v>2380096.75</v>
      </c>
    </row>
    <row r="25" spans="1:2" x14ac:dyDescent="0.25">
      <c r="A25" s="2"/>
      <c r="B25" s="3"/>
    </row>
    <row r="28" spans="1:2" x14ac:dyDescent="0.25">
      <c r="A28" s="9" t="s">
        <v>190</v>
      </c>
      <c r="B28" s="10"/>
    </row>
  </sheetData>
  <mergeCells count="4">
    <mergeCell ref="A28:B28"/>
    <mergeCell ref="A1:B1"/>
    <mergeCell ref="A2:B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Statement of Activity</vt:lpstr>
      <vt:lpstr>Statement of Activity YTD</vt:lpstr>
      <vt:lpstr>Statement of Financial Position</vt:lpstr>
      <vt:lpstr>Balance Sheet comparison</vt:lpstr>
      <vt:lpstr>Statement of Cash Flows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Delia Barnett</cp:lastModifiedBy>
  <dcterms:created xsi:type="dcterms:W3CDTF">2023-03-13T16:13:41Z</dcterms:created>
  <dcterms:modified xsi:type="dcterms:W3CDTF">2023-03-13T17:37:57Z</dcterms:modified>
</cp:coreProperties>
</file>