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Financial\Reports\Treasurers\FY2022-2023\"/>
    </mc:Choice>
  </mc:AlternateContent>
  <xr:revisionPtr revIDLastSave="0" documentId="13_ncr:1_{0800B62E-BC54-4E79-8D68-9B1D78DD2E33}" xr6:coauthVersionLast="46" xr6:coauthVersionMax="46" xr10:uidLastSave="{00000000-0000-0000-0000-000000000000}"/>
  <bookViews>
    <workbookView xWindow="-120" yWindow="-120" windowWidth="20640" windowHeight="11160" activeTab="1" xr2:uid="{00000000-000D-0000-FFFF-FFFF00000000}"/>
  </bookViews>
  <sheets>
    <sheet name="Statement of Activity" sheetId="1" r:id="rId1"/>
    <sheet name="Statement of ActivityYTD" sheetId="2" r:id="rId2"/>
    <sheet name="Statement of Financial Position" sheetId="3" r:id="rId3"/>
    <sheet name="Statement of Cash Flows" sheetId="4" r:id="rId4"/>
  </sheets>
  <calcPr calcId="191029"/>
</workbook>
</file>

<file path=xl/calcChain.xml><?xml version="1.0" encoding="utf-8"?>
<calcChain xmlns="http://schemas.openxmlformats.org/spreadsheetml/2006/main">
  <c r="B7" i="4" l="1"/>
  <c r="B14" i="4" s="1"/>
  <c r="B15" i="4" s="1"/>
  <c r="B17" i="4" s="1"/>
  <c r="B67" i="1"/>
  <c r="B66" i="1"/>
  <c r="B25" i="2"/>
  <c r="B27" i="2" s="1"/>
  <c r="B9" i="4"/>
  <c r="B10" i="4"/>
  <c r="B11" i="4"/>
  <c r="B12" i="4"/>
  <c r="B13" i="4"/>
  <c r="B16" i="4"/>
  <c r="B9" i="3"/>
  <c r="B20" i="3" s="1"/>
  <c r="B10" i="3"/>
  <c r="B11" i="3"/>
  <c r="B12" i="3"/>
  <c r="B13" i="3"/>
  <c r="B14" i="3"/>
  <c r="B15" i="3"/>
  <c r="B16" i="3"/>
  <c r="B17" i="3"/>
  <c r="B18" i="3"/>
  <c r="B19" i="3"/>
  <c r="B22" i="3"/>
  <c r="B24" i="3" s="1"/>
  <c r="B23" i="3"/>
  <c r="B26" i="3"/>
  <c r="B29" i="3" s="1"/>
  <c r="B27" i="3"/>
  <c r="B28" i="3"/>
  <c r="B32" i="3"/>
  <c r="B33" i="3"/>
  <c r="B36" i="3" s="1"/>
  <c r="B34" i="3"/>
  <c r="B35" i="3"/>
  <c r="B38" i="3"/>
  <c r="B41" i="3" s="1"/>
  <c r="B39" i="3"/>
  <c r="B40" i="3"/>
  <c r="B47" i="3"/>
  <c r="B48" i="3"/>
  <c r="B50" i="3"/>
  <c r="B51" i="3"/>
  <c r="B58" i="3" s="1"/>
  <c r="B59" i="3" s="1"/>
  <c r="B63" i="3" s="1"/>
  <c r="B52" i="3"/>
  <c r="B53" i="3"/>
  <c r="B54" i="3"/>
  <c r="B55" i="3"/>
  <c r="B56" i="3"/>
  <c r="B57" i="3"/>
  <c r="B61" i="3"/>
  <c r="B62" i="3"/>
  <c r="B65" i="3"/>
  <c r="B68" i="3" s="1"/>
  <c r="B66" i="3"/>
  <c r="B67" i="3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6" i="2"/>
  <c r="B29" i="2"/>
  <c r="B31" i="2" s="1"/>
  <c r="B30" i="2"/>
  <c r="B33" i="2"/>
  <c r="B35" i="2" s="1"/>
  <c r="B34" i="2"/>
  <c r="B41" i="2"/>
  <c r="B42" i="2"/>
  <c r="B43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7" i="2" s="1"/>
  <c r="B86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65" i="1"/>
  <c r="B64" i="1"/>
  <c r="B63" i="1"/>
  <c r="B62" i="1"/>
  <c r="B61" i="1"/>
  <c r="B60" i="1"/>
  <c r="B59" i="1"/>
  <c r="B58" i="1"/>
  <c r="B57" i="1"/>
  <c r="B56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20" i="1" l="1"/>
  <c r="B21" i="1" s="1"/>
  <c r="B68" i="1" s="1"/>
  <c r="B30" i="3"/>
  <c r="B42" i="3" s="1"/>
  <c r="B69" i="3"/>
  <c r="B39" i="2"/>
  <c r="B44" i="2" s="1"/>
  <c r="B113" i="2" s="1"/>
  <c r="B114" i="2" s="1"/>
  <c r="B112" i="2"/>
</calcChain>
</file>

<file path=xl/sharedStrings.xml><?xml version="1.0" encoding="utf-8"?>
<sst xmlns="http://schemas.openxmlformats.org/spreadsheetml/2006/main" count="268" uniqueCount="197">
  <si>
    <t>Total</t>
  </si>
  <si>
    <t>Revenue</t>
  </si>
  <si>
    <t xml:space="preserve">   4001 Individual</t>
  </si>
  <si>
    <t xml:space="preserve">   4010 Business Donation</t>
  </si>
  <si>
    <t xml:space="preserve">   4020 Foundation Donations</t>
  </si>
  <si>
    <t xml:space="preserve">   4030 Organizations - Donations</t>
  </si>
  <si>
    <t xml:space="preserve">   4050 Religious Organizations - Donations</t>
  </si>
  <si>
    <t xml:space="preserve">   4070 United Way - Donations</t>
  </si>
  <si>
    <t xml:space="preserve">   4100 Grants</t>
  </si>
  <si>
    <t xml:space="preserve">   4120 HUD Reimbursements</t>
  </si>
  <si>
    <t xml:space="preserve">   4300 Misc. Income</t>
  </si>
  <si>
    <t xml:space="preserve">   4310 Laundry money</t>
  </si>
  <si>
    <t xml:space="preserve">   4330 Bank Interest - Various Accts</t>
  </si>
  <si>
    <t xml:space="preserve">   4500 Boiler Building Rent</t>
  </si>
  <si>
    <t xml:space="preserve">   4950 Program Fees</t>
  </si>
  <si>
    <t>Total Revenue</t>
  </si>
  <si>
    <t>Gross Profit</t>
  </si>
  <si>
    <t>Expenditures</t>
  </si>
  <si>
    <t xml:space="preserve">   7030 Equipment Maint/Repair</t>
  </si>
  <si>
    <t xml:space="preserve">   7035 Internet</t>
  </si>
  <si>
    <t xml:space="preserve">   7040 Bank Service Chgrs</t>
  </si>
  <si>
    <t xml:space="preserve">   7050 Office Supplies</t>
  </si>
  <si>
    <t xml:space="preserve">   7055 Telephone Expense</t>
  </si>
  <si>
    <t xml:space="preserve">   7065 Printing/Copying</t>
  </si>
  <si>
    <t xml:space="preserve">   7075 Software Maintenance/Support</t>
  </si>
  <si>
    <t xml:space="preserve">   7080 Staff Recoginition</t>
  </si>
  <si>
    <t xml:space="preserve">   7090 Technical Support</t>
  </si>
  <si>
    <t xml:space="preserve">   7170 Payroll Service</t>
  </si>
  <si>
    <t xml:space="preserve">   7190 Staff Conference/Seminar</t>
  </si>
  <si>
    <t xml:space="preserve">   7212 Real Estate Tax</t>
  </si>
  <si>
    <t xml:space="preserve">   7215 Building Insurance</t>
  </si>
  <si>
    <t xml:space="preserve">   7217 Building Reserve</t>
  </si>
  <si>
    <t xml:space="preserve">   7230 Electricity</t>
  </si>
  <si>
    <t xml:space="preserve">   7247 Snow Removal</t>
  </si>
  <si>
    <t xml:space="preserve">   7250 Maintenance Supplies</t>
  </si>
  <si>
    <t xml:space="preserve">   7255 Natural Gas</t>
  </si>
  <si>
    <t xml:space="preserve">   7265 Rent-Benedictine Place</t>
  </si>
  <si>
    <t xml:space="preserve">   7270 Sewage</t>
  </si>
  <si>
    <t xml:space="preserve">   7275 Trash Removal</t>
  </si>
  <si>
    <t xml:space="preserve">   7280 Water</t>
  </si>
  <si>
    <t xml:space="preserve">   7295 Security</t>
  </si>
  <si>
    <t xml:space="preserve">   7306 Auto Lease/Insurance/Gas</t>
  </si>
  <si>
    <t xml:space="preserve">   7309 Clearances Act 33 &amp; 34</t>
  </si>
  <si>
    <t xml:space="preserve">   7315 Client Expense</t>
  </si>
  <si>
    <t xml:space="preserve">   7333 Food &amp; Beverage Exp</t>
  </si>
  <si>
    <t xml:space="preserve">   7341 Image Marketing</t>
  </si>
  <si>
    <t xml:space="preserve">   7345 Internet-Program</t>
  </si>
  <si>
    <t xml:space="preserve">   7366 Printing/Copying-Program</t>
  </si>
  <si>
    <t xml:space="preserve">   7369 Professional Liability Ins.</t>
  </si>
  <si>
    <t xml:space="preserve">   7373 Program Outcome</t>
  </si>
  <si>
    <t xml:space="preserve">   7385 Staff Auto Allow.-mileage/park</t>
  </si>
  <si>
    <t xml:space="preserve">   7394 Telephone - Programming</t>
  </si>
  <si>
    <t xml:space="preserve">   7540 Medical Insurance</t>
  </si>
  <si>
    <t xml:space="preserve">   7541 Vision &amp; Dental Insurance</t>
  </si>
  <si>
    <t xml:space="preserve">   7542 Life Insurance</t>
  </si>
  <si>
    <t xml:space="preserve">   7550 403 B Retirement</t>
  </si>
  <si>
    <t xml:space="preserve">   7570 Salaries</t>
  </si>
  <si>
    <t xml:space="preserve">   7575 FICA Employer</t>
  </si>
  <si>
    <t xml:space="preserve">   7582 Other Tax Expense</t>
  </si>
  <si>
    <t xml:space="preserve">   7585 PA SUI-Employer</t>
  </si>
  <si>
    <t>Total Expenditures</t>
  </si>
  <si>
    <t>Net Operating Revenue</t>
  </si>
  <si>
    <t>Net Revenue</t>
  </si>
  <si>
    <t>Tuesday, Jan 10, 2023 01:35:53 PM GMT-8 - Accrual Basis</t>
  </si>
  <si>
    <t>HEARTH</t>
  </si>
  <si>
    <t>Statement of Activity</t>
  </si>
  <si>
    <t>December 2022</t>
  </si>
  <si>
    <t>Tuesday, Jan 10, 2023 01:36:15 PM GMT-8 - Accrual Basis</t>
  </si>
  <si>
    <t xml:space="preserve">   7590 Workers' Comp Insurance</t>
  </si>
  <si>
    <t xml:space="preserve">   7580 Medicare-Employer</t>
  </si>
  <si>
    <t xml:space="preserve">   7530 Fundraising</t>
  </si>
  <si>
    <t xml:space="preserve">   7388 Storage/Shredding</t>
  </si>
  <si>
    <t xml:space="preserve">   7376 Program Supplies</t>
  </si>
  <si>
    <t xml:space="preserve">   7336 Food &amp; Perishables-PP</t>
  </si>
  <si>
    <t xml:space="preserve">   7324 Client Education Fees/Tuition</t>
  </si>
  <si>
    <t xml:space="preserve">   7318-53 Expressions in Harmony Grant</t>
  </si>
  <si>
    <t xml:space="preserve">   Total 7318 Client Expenses - RESTRICTED</t>
  </si>
  <si>
    <t xml:space="preserve">      7318-48 Closet &amp; Clothing Pantry</t>
  </si>
  <si>
    <t xml:space="preserve">   7318 Client Expenses - RESTRICTED</t>
  </si>
  <si>
    <t xml:space="preserve">   7303 Apt Equip &amp; Supplies</t>
  </si>
  <si>
    <t xml:space="preserve">   7246 Up Keep - Grounds</t>
  </si>
  <si>
    <t xml:space="preserve">   7245 Maintenance Labor</t>
  </si>
  <si>
    <t xml:space="preserve">   7235 Exterminating</t>
  </si>
  <si>
    <t xml:space="preserve">   7225 Cleaning Supplies</t>
  </si>
  <si>
    <t xml:space="preserve">   7220 Janitorial Services</t>
  </si>
  <si>
    <t xml:space="preserve">   7210 Apartment Cleaning Services</t>
  </si>
  <si>
    <t xml:space="preserve">   7140 Charitable Registration</t>
  </si>
  <si>
    <t xml:space="preserve">   7110 Audit</t>
  </si>
  <si>
    <t xml:space="preserve">   7060 Postage/Delivery</t>
  </si>
  <si>
    <t xml:space="preserve">   7025 Memberships/Educ. Material</t>
  </si>
  <si>
    <t xml:space="preserve">   7020 Donor/Volunteer Relations</t>
  </si>
  <si>
    <t xml:space="preserve">   7010 Board Development</t>
  </si>
  <si>
    <t>Total Cost of Goods Sold</t>
  </si>
  <si>
    <t xml:space="preserve">   4895 COS-Purses for Purpose</t>
  </si>
  <si>
    <t xml:space="preserve">   4690 COS-Wine &amp; Food</t>
  </si>
  <si>
    <t>Cost of Goods Sold</t>
  </si>
  <si>
    <t xml:space="preserve">   Sales</t>
  </si>
  <si>
    <t xml:space="preserve">   Billable Expenditure Revenue</t>
  </si>
  <si>
    <t xml:space="preserve">   Total 4800 Purses for Purpose</t>
  </si>
  <si>
    <t xml:space="preserve">      4815 Purses Sponsor</t>
  </si>
  <si>
    <t xml:space="preserve">      4810 Purses for Purpose-Tickets</t>
  </si>
  <si>
    <t xml:space="preserve">   4800 Purses for Purpose</t>
  </si>
  <si>
    <t xml:space="preserve">   Total 4700 Golf-Parent acct</t>
  </si>
  <si>
    <t xml:space="preserve">      4790 Golf Expenses</t>
  </si>
  <si>
    <t xml:space="preserve">      4750 Golf Donations</t>
  </si>
  <si>
    <t xml:space="preserve">   4700 Golf-Parent acct</t>
  </si>
  <si>
    <t xml:space="preserve">   Total 4600 Wine &amp; Food</t>
  </si>
  <si>
    <t xml:space="preserve">      4620 Wine &amp; Food Sponsors</t>
  </si>
  <si>
    <t xml:space="preserve">      4615 Wine &amp; Food Donations</t>
  </si>
  <si>
    <t xml:space="preserve">      4610 Wine &amp; Food Tickets</t>
  </si>
  <si>
    <t xml:space="preserve">   4600 Wine &amp; Food</t>
  </si>
  <si>
    <t xml:space="preserve">   4480 YPB Events/Fundraising</t>
  </si>
  <si>
    <t xml:space="preserve">   4460 3rd Party Events</t>
  </si>
  <si>
    <t xml:space="preserve">   4140 State Grants</t>
  </si>
  <si>
    <t xml:space="preserve">   4021 Foundations - Rest. Funds</t>
  </si>
  <si>
    <t>July - December, 2022</t>
  </si>
  <si>
    <t>Tuesday, Jan 10, 2023 01:37:42 PM GMT-8 - Accrual Basis</t>
  </si>
  <si>
    <t>TOTAL LIABILITIES AND EQUITY</t>
  </si>
  <si>
    <t xml:space="preserve">   Total Equity</t>
  </si>
  <si>
    <t xml:space="preserve">      Net Revenue</t>
  </si>
  <si>
    <t xml:space="preserve">      32000 Unrestricted Net Assets</t>
  </si>
  <si>
    <t xml:space="preserve">      3000 Retained Earnings</t>
  </si>
  <si>
    <t xml:space="preserve">   Equity</t>
  </si>
  <si>
    <t xml:space="preserve">   Total Liabilities</t>
  </si>
  <si>
    <t xml:space="preserve">      Total Long-Term Liabilities</t>
  </si>
  <si>
    <t xml:space="preserve">         2030 PPP SBA LOAN</t>
  </si>
  <si>
    <t xml:space="preserve">      Long-Term Liabilities</t>
  </si>
  <si>
    <t xml:space="preserve">      Total Current Liabilities</t>
  </si>
  <si>
    <t xml:space="preserve">         Total Other Current Liabilities</t>
  </si>
  <si>
    <t xml:space="preserve">            2120 403b Contributions</t>
  </si>
  <si>
    <t xml:space="preserve">            2112 403b Match</t>
  </si>
  <si>
    <t xml:space="preserve">            2020 Sales tax payable</t>
  </si>
  <si>
    <t xml:space="preserve">            2017 Deferred Rev.-Purses</t>
  </si>
  <si>
    <t xml:space="preserve">            2015 Deferred revenue W&amp;F</t>
  </si>
  <si>
    <t xml:space="preserve">            2013 Deferred Revenue</t>
  </si>
  <si>
    <t xml:space="preserve">            2010 Payroll Liabilities</t>
  </si>
  <si>
    <t xml:space="preserve">            1340 Security Deposits</t>
  </si>
  <si>
    <t xml:space="preserve">         Other Current Liabilities</t>
  </si>
  <si>
    <t xml:space="preserve">         Total Accounts Payable</t>
  </si>
  <si>
    <t xml:space="preserve">            2000 Accounts Payable</t>
  </si>
  <si>
    <t xml:space="preserve">         Accounts Payable</t>
  </si>
  <si>
    <t xml:space="preserve">      Current Liabilities</t>
  </si>
  <si>
    <t xml:space="preserve">   Liabilities</t>
  </si>
  <si>
    <t>LIABILITIES AND EQUITY</t>
  </si>
  <si>
    <t>TOTAL ASSETS</t>
  </si>
  <si>
    <t xml:space="preserve">   Total Other Assets</t>
  </si>
  <si>
    <t xml:space="preserve">      1950 Noncurrent Accrued Interest Income</t>
  </si>
  <si>
    <t xml:space="preserve">      1900 Noncurrent Note Receivable</t>
  </si>
  <si>
    <t xml:space="preserve">      1700 Allegheny Investments</t>
  </si>
  <si>
    <t xml:space="preserve">   Other Assets</t>
  </si>
  <si>
    <t xml:space="preserve">   Total Fixed Assets</t>
  </si>
  <si>
    <t xml:space="preserve">      1680 Accumulated Depreciation</t>
  </si>
  <si>
    <t xml:space="preserve">      1620 Furnishings</t>
  </si>
  <si>
    <t xml:space="preserve">      1610 Mt. Royal Property</t>
  </si>
  <si>
    <t xml:space="preserve">      1600 Capital Equipment</t>
  </si>
  <si>
    <t xml:space="preserve">   Fixed Assets</t>
  </si>
  <si>
    <t xml:space="preserve">   Total Current Assets</t>
  </si>
  <si>
    <t xml:space="preserve">      Total Other Current Assets</t>
  </si>
  <si>
    <t xml:space="preserve">         Uncategorized Asset</t>
  </si>
  <si>
    <t xml:space="preserve">         1320 Prepaid Expenses</t>
  </si>
  <si>
    <t xml:space="preserve">         1200 Undeposited Funds</t>
  </si>
  <si>
    <t xml:space="preserve">      Other Current Assets</t>
  </si>
  <si>
    <t xml:space="preserve">      Total Accounts Receivable</t>
  </si>
  <si>
    <t xml:space="preserve">         1410 Accrued Interest Rec. on Note</t>
  </si>
  <si>
    <t xml:space="preserve">         1100 Accounts Receivable</t>
  </si>
  <si>
    <t xml:space="preserve">      Accounts Receivable</t>
  </si>
  <si>
    <t xml:space="preserve">      Total Bank Accounts</t>
  </si>
  <si>
    <t xml:space="preserve">         1055 FNB 9679 - HSA</t>
  </si>
  <si>
    <t xml:space="preserve">         1052 S &amp; T Bank Money Market #8622</t>
  </si>
  <si>
    <t xml:space="preserve">         1051 PNC MM 3991</t>
  </si>
  <si>
    <t xml:space="preserve">         1045 Fidelity Investments</t>
  </si>
  <si>
    <t xml:space="preserve">         1041 Omega F.C.U #525 CD</t>
  </si>
  <si>
    <t xml:space="preserve">         1040 TriState Cap.-Money Market  #0607</t>
  </si>
  <si>
    <t xml:space="preserve">         1030 FNB-Money Mkt #6783</t>
  </si>
  <si>
    <t xml:space="preserve">         1025 Standard Bank # 8408</t>
  </si>
  <si>
    <t xml:space="preserve">         1020 Citizens Money Market #235-3</t>
  </si>
  <si>
    <t xml:space="preserve">         1015 FNB- Cap. Camp. #7427</t>
  </si>
  <si>
    <t xml:space="preserve">         1010 FNB - Checking     #5258</t>
  </si>
  <si>
    <t xml:space="preserve">      Bank Accounts</t>
  </si>
  <si>
    <t xml:space="preserve">   Current Assets</t>
  </si>
  <si>
    <t>ASSETS</t>
  </si>
  <si>
    <t>As of December 31, 2022</t>
  </si>
  <si>
    <t>Statement of Financial Position</t>
  </si>
  <si>
    <t>Tuesday, Jan 10, 2023 01:39:06 PM GMT-8</t>
  </si>
  <si>
    <t>Cash at end of period</t>
  </si>
  <si>
    <t>Cash at beginning of period</t>
  </si>
  <si>
    <t>Net cash increase for period</t>
  </si>
  <si>
    <t>Net cash provided by operating activities</t>
  </si>
  <si>
    <t xml:space="preserve">   Total Adjustments to reconcile Net Revenue to Net Cash provided by operations:</t>
  </si>
  <si>
    <t xml:space="preserve">      2120 403b Contributions</t>
  </si>
  <si>
    <t xml:space="preserve">      2010 Payroll Liabilities</t>
  </si>
  <si>
    <t xml:space="preserve">      2000 Accounts Payable</t>
  </si>
  <si>
    <t xml:space="preserve">      1100 Accounts Receivable</t>
  </si>
  <si>
    <t xml:space="preserve">   Adjustments to reconcile Net Revenue to Net Cash provided by operations:</t>
  </si>
  <si>
    <t xml:space="preserve">   Net Revenue</t>
  </si>
  <si>
    <t>OPERATING ACTIVITIES</t>
  </si>
  <si>
    <t>Statement of Cash Flows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</si>
</sst>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&quot;$&quot;* #,##0.00\ _€"/>
  </numFmts>
  <fonts count="6" x14ac:knownFonts="1">
    <font>
      <sz val="11"/>
      <color indexed="8"/>
      <name val="Calibri"/>
      <family val="2"/>
      <scheme val="minor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2" fillId="0" borderId="0" xfId="0" applyFont="1"/>
    <xf numFmtId="164" fontId="3" fillId="0" borderId="0" xfId="0" applyNumberFormat="1" applyFont="1"/>
    <xf numFmtId="165" fontId="2" fillId="0" borderId="2" xfId="0" applyNumberFormat="1" applyFont="1" applyBorder="1"/>
    <xf numFmtId="165" fontId="2" fillId="0" borderId="3" xfId="0" applyNumberFormat="1" applyFont="1" applyBorder="1"/>
    <xf numFmtId="165" fontId="2" fillId="2" borderId="2" xfId="0" applyNumberFormat="1" applyFont="1" applyFill="1" applyBorder="1"/>
    <xf numFmtId="165" fontId="2" fillId="2" borderId="3" xfId="0" applyNumberFormat="1" applyFont="1" applyFill="1" applyBorder="1"/>
    <xf numFmtId="164" fontId="3" fillId="2" borderId="0" xfId="0" applyNumberFormat="1" applyFont="1" applyFill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2"/>
  <sheetViews>
    <sheetView topLeftCell="A49" workbookViewId="0">
      <selection activeCell="D63" sqref="D63"/>
    </sheetView>
  </sheetViews>
  <sheetFormatPr defaultRowHeight="15" x14ac:dyDescent="0.25"/>
  <cols>
    <col min="1" max="1" width="37.85546875" customWidth="1"/>
    <col min="2" max="2" width="18.85546875" customWidth="1"/>
  </cols>
  <sheetData>
    <row r="1" spans="1:2" ht="18" x14ac:dyDescent="0.25">
      <c r="A1" s="11" t="s">
        <v>64</v>
      </c>
      <c r="B1" s="10"/>
    </row>
    <row r="2" spans="1:2" ht="18" x14ac:dyDescent="0.25">
      <c r="A2" s="11" t="s">
        <v>65</v>
      </c>
      <c r="B2" s="10"/>
    </row>
    <row r="3" spans="1:2" x14ac:dyDescent="0.25">
      <c r="A3" s="12" t="s">
        <v>66</v>
      </c>
      <c r="B3" s="10"/>
    </row>
    <row r="5" spans="1:2" x14ac:dyDescent="0.25">
      <c r="B5" s="1" t="s">
        <v>0</v>
      </c>
    </row>
    <row r="6" spans="1:2" x14ac:dyDescent="0.25">
      <c r="A6" s="2" t="s">
        <v>1</v>
      </c>
      <c r="B6" s="3"/>
    </row>
    <row r="7" spans="1:2" x14ac:dyDescent="0.25">
      <c r="A7" s="2" t="s">
        <v>2</v>
      </c>
      <c r="B7" s="3">
        <f>5926.17</f>
        <v>5926.17</v>
      </c>
    </row>
    <row r="8" spans="1:2" x14ac:dyDescent="0.25">
      <c r="A8" s="2" t="s">
        <v>3</v>
      </c>
      <c r="B8" s="3">
        <f>500</f>
        <v>500</v>
      </c>
    </row>
    <row r="9" spans="1:2" x14ac:dyDescent="0.25">
      <c r="A9" s="2" t="s">
        <v>4</v>
      </c>
      <c r="B9" s="3">
        <f>10000</f>
        <v>10000</v>
      </c>
    </row>
    <row r="10" spans="1:2" x14ac:dyDescent="0.25">
      <c r="A10" s="2" t="s">
        <v>5</v>
      </c>
      <c r="B10" s="3">
        <f>100</f>
        <v>100</v>
      </c>
    </row>
    <row r="11" spans="1:2" x14ac:dyDescent="0.25">
      <c r="A11" s="2" t="s">
        <v>6</v>
      </c>
      <c r="B11" s="3">
        <f>345.5</f>
        <v>345.5</v>
      </c>
    </row>
    <row r="12" spans="1:2" x14ac:dyDescent="0.25">
      <c r="A12" s="2" t="s">
        <v>7</v>
      </c>
      <c r="B12" s="3">
        <f>1146.04</f>
        <v>1146.04</v>
      </c>
    </row>
    <row r="13" spans="1:2" x14ac:dyDescent="0.25">
      <c r="A13" s="2" t="s">
        <v>8</v>
      </c>
      <c r="B13" s="3">
        <f>11050</f>
        <v>11050</v>
      </c>
    </row>
    <row r="14" spans="1:2" x14ac:dyDescent="0.25">
      <c r="A14" s="2" t="s">
        <v>9</v>
      </c>
      <c r="B14" s="3">
        <f>228</f>
        <v>228</v>
      </c>
    </row>
    <row r="15" spans="1:2" x14ac:dyDescent="0.25">
      <c r="A15" s="2" t="s">
        <v>10</v>
      </c>
      <c r="B15" s="3">
        <f>24394.47</f>
        <v>24394.47</v>
      </c>
    </row>
    <row r="16" spans="1:2" x14ac:dyDescent="0.25">
      <c r="A16" s="2" t="s">
        <v>11</v>
      </c>
      <c r="B16" s="3">
        <f>43.88</f>
        <v>43.88</v>
      </c>
    </row>
    <row r="17" spans="1:2" x14ac:dyDescent="0.25">
      <c r="A17" s="2" t="s">
        <v>12</v>
      </c>
      <c r="B17" s="3">
        <f>680.7</f>
        <v>680.7</v>
      </c>
    </row>
    <row r="18" spans="1:2" x14ac:dyDescent="0.25">
      <c r="A18" s="2" t="s">
        <v>13</v>
      </c>
      <c r="B18" s="3">
        <f>2566</f>
        <v>2566</v>
      </c>
    </row>
    <row r="19" spans="1:2" x14ac:dyDescent="0.25">
      <c r="A19" s="2" t="s">
        <v>14</v>
      </c>
      <c r="B19" s="3">
        <f>3948</f>
        <v>3948</v>
      </c>
    </row>
    <row r="20" spans="1:2" x14ac:dyDescent="0.25">
      <c r="A20" s="2" t="s">
        <v>15</v>
      </c>
      <c r="B20" s="6">
        <f>((((((((((((B7)+(B8))+(B9))+(B10))+(B11))+(B12))+(B13))+(B14))+(B15))+(B16))+(B17))+(B18))+(B19)</f>
        <v>60928.759999999995</v>
      </c>
    </row>
    <row r="21" spans="1:2" x14ac:dyDescent="0.25">
      <c r="A21" s="2" t="s">
        <v>16</v>
      </c>
      <c r="B21" s="4">
        <f>(B20)-(0)</f>
        <v>60928.759999999995</v>
      </c>
    </row>
    <row r="22" spans="1:2" x14ac:dyDescent="0.25">
      <c r="A22" s="2" t="s">
        <v>17</v>
      </c>
      <c r="B22" s="3"/>
    </row>
    <row r="23" spans="1:2" x14ac:dyDescent="0.25">
      <c r="A23" s="2" t="s">
        <v>18</v>
      </c>
      <c r="B23" s="3">
        <f>130</f>
        <v>130</v>
      </c>
    </row>
    <row r="24" spans="1:2" x14ac:dyDescent="0.25">
      <c r="A24" s="2" t="s">
        <v>19</v>
      </c>
      <c r="B24" s="3">
        <f>68.46</f>
        <v>68.459999999999994</v>
      </c>
    </row>
    <row r="25" spans="1:2" x14ac:dyDescent="0.25">
      <c r="A25" s="2" t="s">
        <v>20</v>
      </c>
      <c r="B25" s="3">
        <f>250.75</f>
        <v>250.75</v>
      </c>
    </row>
    <row r="26" spans="1:2" x14ac:dyDescent="0.25">
      <c r="A26" s="2" t="s">
        <v>21</v>
      </c>
      <c r="B26" s="3">
        <f>96.35</f>
        <v>96.35</v>
      </c>
    </row>
    <row r="27" spans="1:2" x14ac:dyDescent="0.25">
      <c r="A27" s="2" t="s">
        <v>22</v>
      </c>
      <c r="B27" s="3">
        <f>659.09</f>
        <v>659.09</v>
      </c>
    </row>
    <row r="28" spans="1:2" x14ac:dyDescent="0.25">
      <c r="A28" s="2" t="s">
        <v>23</v>
      </c>
      <c r="B28" s="3">
        <f>240.61</f>
        <v>240.61</v>
      </c>
    </row>
    <row r="29" spans="1:2" x14ac:dyDescent="0.25">
      <c r="A29" s="2" t="s">
        <v>24</v>
      </c>
      <c r="B29" s="3">
        <f>482.98</f>
        <v>482.98</v>
      </c>
    </row>
    <row r="30" spans="1:2" x14ac:dyDescent="0.25">
      <c r="A30" s="2" t="s">
        <v>25</v>
      </c>
      <c r="B30" s="3">
        <f>1720.35</f>
        <v>1720.35</v>
      </c>
    </row>
    <row r="31" spans="1:2" x14ac:dyDescent="0.25">
      <c r="A31" s="2" t="s">
        <v>26</v>
      </c>
      <c r="B31" s="3">
        <f>680</f>
        <v>680</v>
      </c>
    </row>
    <row r="32" spans="1:2" x14ac:dyDescent="0.25">
      <c r="A32" s="2" t="s">
        <v>27</v>
      </c>
      <c r="B32" s="3">
        <f>304</f>
        <v>304</v>
      </c>
    </row>
    <row r="33" spans="1:2" x14ac:dyDescent="0.25">
      <c r="A33" s="2" t="s">
        <v>28</v>
      </c>
      <c r="B33" s="3">
        <f>-64.2</f>
        <v>-64.2</v>
      </c>
    </row>
    <row r="34" spans="1:2" x14ac:dyDescent="0.25">
      <c r="A34" s="2" t="s">
        <v>29</v>
      </c>
      <c r="B34" s="3">
        <f>1489</f>
        <v>1489</v>
      </c>
    </row>
    <row r="35" spans="1:2" x14ac:dyDescent="0.25">
      <c r="A35" s="2" t="s">
        <v>30</v>
      </c>
      <c r="B35" s="3">
        <f>3264.14</f>
        <v>3264.14</v>
      </c>
    </row>
    <row r="36" spans="1:2" x14ac:dyDescent="0.25">
      <c r="A36" s="2" t="s">
        <v>31</v>
      </c>
      <c r="B36" s="3">
        <f>1055</f>
        <v>1055</v>
      </c>
    </row>
    <row r="37" spans="1:2" x14ac:dyDescent="0.25">
      <c r="A37" s="2" t="s">
        <v>32</v>
      </c>
      <c r="B37" s="3">
        <f>1628.51</f>
        <v>1628.51</v>
      </c>
    </row>
    <row r="38" spans="1:2" x14ac:dyDescent="0.25">
      <c r="A38" s="2" t="s">
        <v>33</v>
      </c>
      <c r="B38" s="3">
        <f>3819.4</f>
        <v>3819.4</v>
      </c>
    </row>
    <row r="39" spans="1:2" x14ac:dyDescent="0.25">
      <c r="A39" s="2" t="s">
        <v>34</v>
      </c>
      <c r="B39" s="3">
        <f>273</f>
        <v>273</v>
      </c>
    </row>
    <row r="40" spans="1:2" x14ac:dyDescent="0.25">
      <c r="A40" s="2" t="s">
        <v>35</v>
      </c>
      <c r="B40" s="3">
        <f>1460.49</f>
        <v>1460.49</v>
      </c>
    </row>
    <row r="41" spans="1:2" x14ac:dyDescent="0.25">
      <c r="A41" s="2" t="s">
        <v>36</v>
      </c>
      <c r="B41" s="3">
        <f>20191</f>
        <v>20191</v>
      </c>
    </row>
    <row r="42" spans="1:2" x14ac:dyDescent="0.25">
      <c r="A42" s="2" t="s">
        <v>37</v>
      </c>
      <c r="B42" s="3">
        <f>588.38</f>
        <v>588.38</v>
      </c>
    </row>
    <row r="43" spans="1:2" x14ac:dyDescent="0.25">
      <c r="A43" s="2" t="s">
        <v>38</v>
      </c>
      <c r="B43" s="3">
        <f>990.55</f>
        <v>990.55</v>
      </c>
    </row>
    <row r="44" spans="1:2" x14ac:dyDescent="0.25">
      <c r="A44" s="2" t="s">
        <v>39</v>
      </c>
      <c r="B44" s="3">
        <f>570.2</f>
        <v>570.20000000000005</v>
      </c>
    </row>
    <row r="45" spans="1:2" x14ac:dyDescent="0.25">
      <c r="A45" s="2" t="s">
        <v>40</v>
      </c>
      <c r="B45" s="3">
        <f>37.08</f>
        <v>37.08</v>
      </c>
    </row>
    <row r="46" spans="1:2" x14ac:dyDescent="0.25">
      <c r="A46" s="2" t="s">
        <v>41</v>
      </c>
      <c r="B46" s="3">
        <f>737.34</f>
        <v>737.34</v>
      </c>
    </row>
    <row r="47" spans="1:2" x14ac:dyDescent="0.25">
      <c r="A47" s="2" t="s">
        <v>42</v>
      </c>
      <c r="B47" s="3">
        <f>65</f>
        <v>65</v>
      </c>
    </row>
    <row r="48" spans="1:2" x14ac:dyDescent="0.25">
      <c r="A48" s="2" t="s">
        <v>43</v>
      </c>
      <c r="B48" s="3">
        <f>30</f>
        <v>30</v>
      </c>
    </row>
    <row r="49" spans="1:2" x14ac:dyDescent="0.25">
      <c r="A49" s="2" t="s">
        <v>44</v>
      </c>
      <c r="B49" s="3">
        <f>149.57</f>
        <v>149.57</v>
      </c>
    </row>
    <row r="50" spans="1:2" x14ac:dyDescent="0.25">
      <c r="A50" s="2" t="s">
        <v>45</v>
      </c>
      <c r="B50" s="3">
        <f>260</f>
        <v>260</v>
      </c>
    </row>
    <row r="51" spans="1:2" x14ac:dyDescent="0.25">
      <c r="A51" s="2" t="s">
        <v>46</v>
      </c>
      <c r="B51" s="3">
        <f>106.46</f>
        <v>106.46</v>
      </c>
    </row>
    <row r="52" spans="1:2" x14ac:dyDescent="0.25">
      <c r="A52" s="2" t="s">
        <v>47</v>
      </c>
      <c r="B52" s="3">
        <f>76.71</f>
        <v>76.709999999999994</v>
      </c>
    </row>
    <row r="53" spans="1:2" x14ac:dyDescent="0.25">
      <c r="A53" s="2" t="s">
        <v>48</v>
      </c>
      <c r="B53" s="3">
        <f>448.52</f>
        <v>448.52</v>
      </c>
    </row>
    <row r="54" spans="1:2" x14ac:dyDescent="0.25">
      <c r="A54" s="2" t="s">
        <v>49</v>
      </c>
      <c r="B54" s="3">
        <f>25</f>
        <v>25</v>
      </c>
    </row>
    <row r="55" spans="1:2" x14ac:dyDescent="0.25">
      <c r="A55" s="2" t="s">
        <v>70</v>
      </c>
      <c r="B55" s="3">
        <v>4000</v>
      </c>
    </row>
    <row r="56" spans="1:2" x14ac:dyDescent="0.25">
      <c r="A56" s="2" t="s">
        <v>50</v>
      </c>
      <c r="B56" s="3">
        <f>552.71</f>
        <v>552.71</v>
      </c>
    </row>
    <row r="57" spans="1:2" x14ac:dyDescent="0.25">
      <c r="A57" s="2" t="s">
        <v>51</v>
      </c>
      <c r="B57" s="3">
        <f>116.6</f>
        <v>116.6</v>
      </c>
    </row>
    <row r="58" spans="1:2" x14ac:dyDescent="0.25">
      <c r="A58" s="2" t="s">
        <v>52</v>
      </c>
      <c r="B58" s="3">
        <f>4668.3</f>
        <v>4668.3</v>
      </c>
    </row>
    <row r="59" spans="1:2" x14ac:dyDescent="0.25">
      <c r="A59" s="2" t="s">
        <v>53</v>
      </c>
      <c r="B59" s="3">
        <f>147.6</f>
        <v>147.6</v>
      </c>
    </row>
    <row r="60" spans="1:2" x14ac:dyDescent="0.25">
      <c r="A60" s="2" t="s">
        <v>54</v>
      </c>
      <c r="B60" s="3">
        <f>441.98</f>
        <v>441.98</v>
      </c>
    </row>
    <row r="61" spans="1:2" x14ac:dyDescent="0.25">
      <c r="A61" s="2" t="s">
        <v>55</v>
      </c>
      <c r="B61" s="3">
        <f>1735.5</f>
        <v>1735.5</v>
      </c>
    </row>
    <row r="62" spans="1:2" x14ac:dyDescent="0.25">
      <c r="A62" s="2" t="s">
        <v>56</v>
      </c>
      <c r="B62" s="3">
        <f>64619.28</f>
        <v>64619.28</v>
      </c>
    </row>
    <row r="63" spans="1:2" x14ac:dyDescent="0.25">
      <c r="A63" s="2" t="s">
        <v>57</v>
      </c>
      <c r="B63" s="3">
        <f>12451.28</f>
        <v>12451.28</v>
      </c>
    </row>
    <row r="64" spans="1:2" x14ac:dyDescent="0.25">
      <c r="A64" s="2" t="s">
        <v>58</v>
      </c>
      <c r="B64" s="3">
        <f>7164.96</f>
        <v>7164.96</v>
      </c>
    </row>
    <row r="65" spans="1:2" x14ac:dyDescent="0.25">
      <c r="A65" s="2" t="s">
        <v>59</v>
      </c>
      <c r="B65" s="3">
        <f>38.7</f>
        <v>38.700000000000003</v>
      </c>
    </row>
    <row r="66" spans="1:2" x14ac:dyDescent="0.25">
      <c r="A66" s="2" t="s">
        <v>60</v>
      </c>
      <c r="B66" s="6">
        <f>(((((((((((((((((((((((((((((((((((((((((B23)+(B24))+(B25))+(B26))+(B27))+(B28))+(B29))+(B30))+(B31))+(B32))+(B33))+(B34))+(B35))+(B36))+(B37))+(B38))+(B39))+(B40))+(B41))+(B42))+(B43))+(B44))+(B45))+(B46))+(B47))+(B48))+(B49))+(B50))+(B51))+(B52))+(B53))+(B54))+((B55))+(B56))+(B57))+(B58))+(B59))+(B60))+(B61))+(B62))+(B63))+(B64))+(B65)</f>
        <v>137770.65</v>
      </c>
    </row>
    <row r="67" spans="1:2" x14ac:dyDescent="0.25">
      <c r="A67" s="2" t="s">
        <v>61</v>
      </c>
      <c r="B67" s="4">
        <f>(B21)-(B66)</f>
        <v>-76841.89</v>
      </c>
    </row>
    <row r="68" spans="1:2" x14ac:dyDescent="0.25">
      <c r="A68" s="2" t="s">
        <v>62</v>
      </c>
      <c r="B68" s="7">
        <f>(B67)+(0)</f>
        <v>-76841.89</v>
      </c>
    </row>
    <row r="69" spans="1:2" x14ac:dyDescent="0.25">
      <c r="A69" s="2"/>
      <c r="B69" s="3"/>
    </row>
    <row r="72" spans="1:2" x14ac:dyDescent="0.25">
      <c r="A72" s="9" t="s">
        <v>63</v>
      </c>
      <c r="B72" s="10"/>
    </row>
  </sheetData>
  <mergeCells count="4">
    <mergeCell ref="A72:B72"/>
    <mergeCell ref="A1:B1"/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E2CF3-D146-4698-8943-74DCE6053429}">
  <dimension ref="A1:B118"/>
  <sheetViews>
    <sheetView tabSelected="1" topLeftCell="A109" workbookViewId="0">
      <selection activeCell="B114" sqref="B114"/>
    </sheetView>
  </sheetViews>
  <sheetFormatPr defaultRowHeight="15" x14ac:dyDescent="0.25"/>
  <cols>
    <col min="1" max="1" width="37.85546875" customWidth="1"/>
    <col min="2" max="2" width="18.85546875" customWidth="1"/>
  </cols>
  <sheetData>
    <row r="1" spans="1:2" ht="18" x14ac:dyDescent="0.25">
      <c r="A1" s="11" t="s">
        <v>64</v>
      </c>
      <c r="B1" s="10"/>
    </row>
    <row r="2" spans="1:2" ht="18" x14ac:dyDescent="0.25">
      <c r="A2" s="11" t="s">
        <v>65</v>
      </c>
      <c r="B2" s="10"/>
    </row>
    <row r="3" spans="1:2" x14ac:dyDescent="0.25">
      <c r="A3" s="12" t="s">
        <v>115</v>
      </c>
      <c r="B3" s="10"/>
    </row>
    <row r="5" spans="1:2" x14ac:dyDescent="0.25">
      <c r="B5" s="1" t="s">
        <v>0</v>
      </c>
    </row>
    <row r="6" spans="1:2" x14ac:dyDescent="0.25">
      <c r="A6" s="2" t="s">
        <v>1</v>
      </c>
      <c r="B6" s="3"/>
    </row>
    <row r="7" spans="1:2" x14ac:dyDescent="0.25">
      <c r="A7" s="2" t="s">
        <v>2</v>
      </c>
      <c r="B7" s="3">
        <f>104332.45</f>
        <v>104332.45</v>
      </c>
    </row>
    <row r="8" spans="1:2" x14ac:dyDescent="0.25">
      <c r="A8" s="2" t="s">
        <v>3</v>
      </c>
      <c r="B8" s="3">
        <f>9373.21</f>
        <v>9373.2099999999991</v>
      </c>
    </row>
    <row r="9" spans="1:2" x14ac:dyDescent="0.25">
      <c r="A9" s="2" t="s">
        <v>4</v>
      </c>
      <c r="B9" s="3">
        <f>80740.88</f>
        <v>80740.88</v>
      </c>
    </row>
    <row r="10" spans="1:2" x14ac:dyDescent="0.25">
      <c r="A10" s="2" t="s">
        <v>114</v>
      </c>
      <c r="B10" s="3">
        <f>-9000</f>
        <v>-9000</v>
      </c>
    </row>
    <row r="11" spans="1:2" x14ac:dyDescent="0.25">
      <c r="A11" s="2" t="s">
        <v>5</v>
      </c>
      <c r="B11" s="3">
        <f>3250</f>
        <v>3250</v>
      </c>
    </row>
    <row r="12" spans="1:2" x14ac:dyDescent="0.25">
      <c r="A12" s="2" t="s">
        <v>6</v>
      </c>
      <c r="B12" s="3">
        <f>6879.41</f>
        <v>6879.41</v>
      </c>
    </row>
    <row r="13" spans="1:2" x14ac:dyDescent="0.25">
      <c r="A13" s="2" t="s">
        <v>7</v>
      </c>
      <c r="B13" s="3">
        <f>6405.65</f>
        <v>6405.65</v>
      </c>
    </row>
    <row r="14" spans="1:2" x14ac:dyDescent="0.25">
      <c r="A14" s="2" t="s">
        <v>8</v>
      </c>
      <c r="B14" s="3">
        <f>95050</f>
        <v>95050</v>
      </c>
    </row>
    <row r="15" spans="1:2" x14ac:dyDescent="0.25">
      <c r="A15" s="2" t="s">
        <v>9</v>
      </c>
      <c r="B15" s="3">
        <f>5012</f>
        <v>5012</v>
      </c>
    </row>
    <row r="16" spans="1:2" x14ac:dyDescent="0.25">
      <c r="A16" s="2" t="s">
        <v>113</v>
      </c>
      <c r="B16" s="3">
        <f>250000</f>
        <v>250000</v>
      </c>
    </row>
    <row r="17" spans="1:2" x14ac:dyDescent="0.25">
      <c r="A17" s="2" t="s">
        <v>10</v>
      </c>
      <c r="B17" s="3">
        <f>143093.2</f>
        <v>143093.20000000001</v>
      </c>
    </row>
    <row r="18" spans="1:2" x14ac:dyDescent="0.25">
      <c r="A18" s="2" t="s">
        <v>11</v>
      </c>
      <c r="B18" s="3">
        <f>665.6</f>
        <v>665.6</v>
      </c>
    </row>
    <row r="19" spans="1:2" x14ac:dyDescent="0.25">
      <c r="A19" s="2" t="s">
        <v>12</v>
      </c>
      <c r="B19" s="3">
        <f>6182.33</f>
        <v>6182.33</v>
      </c>
    </row>
    <row r="20" spans="1:2" x14ac:dyDescent="0.25">
      <c r="A20" s="2" t="s">
        <v>112</v>
      </c>
      <c r="B20" s="3">
        <f>30</f>
        <v>30</v>
      </c>
    </row>
    <row r="21" spans="1:2" x14ac:dyDescent="0.25">
      <c r="A21" s="2" t="s">
        <v>111</v>
      </c>
      <c r="B21" s="3">
        <f>1690</f>
        <v>1690</v>
      </c>
    </row>
    <row r="22" spans="1:2" x14ac:dyDescent="0.25">
      <c r="A22" s="2" t="s">
        <v>13</v>
      </c>
      <c r="B22" s="3">
        <f>10264</f>
        <v>10264</v>
      </c>
    </row>
    <row r="23" spans="1:2" x14ac:dyDescent="0.25">
      <c r="A23" s="2" t="s">
        <v>110</v>
      </c>
      <c r="B23" s="3"/>
    </row>
    <row r="24" spans="1:2" x14ac:dyDescent="0.25">
      <c r="A24" s="2" t="s">
        <v>109</v>
      </c>
      <c r="B24" s="3">
        <v>15950</v>
      </c>
    </row>
    <row r="25" spans="1:2" x14ac:dyDescent="0.25">
      <c r="A25" s="2" t="s">
        <v>108</v>
      </c>
      <c r="B25" s="3">
        <f>7765+2373</f>
        <v>10138</v>
      </c>
    </row>
    <row r="26" spans="1:2" x14ac:dyDescent="0.25">
      <c r="A26" s="2" t="s">
        <v>107</v>
      </c>
      <c r="B26" s="3">
        <f>58544.85</f>
        <v>58544.85</v>
      </c>
    </row>
    <row r="27" spans="1:2" x14ac:dyDescent="0.25">
      <c r="A27" s="2" t="s">
        <v>106</v>
      </c>
      <c r="B27" s="5">
        <f>(((B23)+(B24))+(B25))+(B26)</f>
        <v>84632.85</v>
      </c>
    </row>
    <row r="28" spans="1:2" x14ac:dyDescent="0.25">
      <c r="A28" s="2" t="s">
        <v>105</v>
      </c>
      <c r="B28" s="3"/>
    </row>
    <row r="29" spans="1:2" x14ac:dyDescent="0.25">
      <c r="A29" s="2" t="s">
        <v>104</v>
      </c>
      <c r="B29" s="3">
        <f>4856.82</f>
        <v>4856.82</v>
      </c>
    </row>
    <row r="30" spans="1:2" x14ac:dyDescent="0.25">
      <c r="A30" s="2" t="s">
        <v>103</v>
      </c>
      <c r="B30" s="3">
        <f>-1745.04</f>
        <v>-1745.04</v>
      </c>
    </row>
    <row r="31" spans="1:2" x14ac:dyDescent="0.25">
      <c r="A31" s="2" t="s">
        <v>102</v>
      </c>
      <c r="B31" s="5">
        <f>((B28)+(B29))+(B30)</f>
        <v>3111.7799999999997</v>
      </c>
    </row>
    <row r="32" spans="1:2" x14ac:dyDescent="0.25">
      <c r="A32" s="2" t="s">
        <v>101</v>
      </c>
      <c r="B32" s="3"/>
    </row>
    <row r="33" spans="1:2" x14ac:dyDescent="0.25">
      <c r="A33" s="2" t="s">
        <v>100</v>
      </c>
      <c r="B33" s="3">
        <f>3250</f>
        <v>3250</v>
      </c>
    </row>
    <row r="34" spans="1:2" x14ac:dyDescent="0.25">
      <c r="A34" s="2" t="s">
        <v>99</v>
      </c>
      <c r="B34" s="3">
        <f>19800</f>
        <v>19800</v>
      </c>
    </row>
    <row r="35" spans="1:2" x14ac:dyDescent="0.25">
      <c r="A35" s="2" t="s">
        <v>98</v>
      </c>
      <c r="B35" s="5">
        <f>((B32)+(B33))+(B34)</f>
        <v>23050</v>
      </c>
    </row>
    <row r="36" spans="1:2" x14ac:dyDescent="0.25">
      <c r="A36" s="2" t="s">
        <v>14</v>
      </c>
      <c r="B36" s="3">
        <v>26039.45</v>
      </c>
    </row>
    <row r="37" spans="1:2" x14ac:dyDescent="0.25">
      <c r="A37" s="2" t="s">
        <v>97</v>
      </c>
      <c r="B37" s="3"/>
    </row>
    <row r="38" spans="1:2" x14ac:dyDescent="0.25">
      <c r="A38" s="2" t="s">
        <v>96</v>
      </c>
      <c r="B38" s="3"/>
    </row>
    <row r="39" spans="1:2" x14ac:dyDescent="0.25">
      <c r="A39" s="2" t="s">
        <v>15</v>
      </c>
      <c r="B39" s="5">
        <f>(((((((((((((((((((((B7)+(B8))+(B9))+(B10))+(B11))+(B12))+(B13))+(B14))+(B15))+(B16))+(B17))+(B18))+(B19))+(B20))+(B21))+(B22))+(B27))+(B31))+(B35))+(B36))+(B37))+(B38)</f>
        <v>850802.80999999994</v>
      </c>
    </row>
    <row r="40" spans="1:2" x14ac:dyDescent="0.25">
      <c r="A40" s="2" t="s">
        <v>95</v>
      </c>
      <c r="B40" s="3"/>
    </row>
    <row r="41" spans="1:2" x14ac:dyDescent="0.25">
      <c r="A41" s="2" t="s">
        <v>94</v>
      </c>
      <c r="B41" s="3">
        <f>39763.5</f>
        <v>39763.5</v>
      </c>
    </row>
    <row r="42" spans="1:2" x14ac:dyDescent="0.25">
      <c r="A42" s="2" t="s">
        <v>93</v>
      </c>
      <c r="B42" s="3">
        <f>4300</f>
        <v>4300</v>
      </c>
    </row>
    <row r="43" spans="1:2" x14ac:dyDescent="0.25">
      <c r="A43" s="2" t="s">
        <v>92</v>
      </c>
      <c r="B43" s="5">
        <f>(B41)+(B42)</f>
        <v>44063.5</v>
      </c>
    </row>
    <row r="44" spans="1:2" x14ac:dyDescent="0.25">
      <c r="A44" s="2" t="s">
        <v>16</v>
      </c>
      <c r="B44" s="5">
        <f>(B39)-(B43)</f>
        <v>806739.30999999994</v>
      </c>
    </row>
    <row r="45" spans="1:2" x14ac:dyDescent="0.25">
      <c r="A45" s="2" t="s">
        <v>17</v>
      </c>
      <c r="B45" s="3"/>
    </row>
    <row r="46" spans="1:2" x14ac:dyDescent="0.25">
      <c r="A46" s="2" t="s">
        <v>91</v>
      </c>
      <c r="B46" s="3">
        <f>744.86</f>
        <v>744.86</v>
      </c>
    </row>
    <row r="47" spans="1:2" x14ac:dyDescent="0.25">
      <c r="A47" s="2" t="s">
        <v>90</v>
      </c>
      <c r="B47" s="3">
        <f>162.38</f>
        <v>162.38</v>
      </c>
    </row>
    <row r="48" spans="1:2" x14ac:dyDescent="0.25">
      <c r="A48" s="2" t="s">
        <v>89</v>
      </c>
      <c r="B48" s="3">
        <f>476.5</f>
        <v>476.5</v>
      </c>
    </row>
    <row r="49" spans="1:2" x14ac:dyDescent="0.25">
      <c r="A49" s="2" t="s">
        <v>18</v>
      </c>
      <c r="B49" s="3">
        <f>325</f>
        <v>325</v>
      </c>
    </row>
    <row r="50" spans="1:2" x14ac:dyDescent="0.25">
      <c r="A50" s="2" t="s">
        <v>19</v>
      </c>
      <c r="B50" s="3">
        <f>401.16</f>
        <v>401.16</v>
      </c>
    </row>
    <row r="51" spans="1:2" x14ac:dyDescent="0.25">
      <c r="A51" s="2" t="s">
        <v>20</v>
      </c>
      <c r="B51" s="3">
        <f>1313.58</f>
        <v>1313.58</v>
      </c>
    </row>
    <row r="52" spans="1:2" x14ac:dyDescent="0.25">
      <c r="A52" s="2" t="s">
        <v>21</v>
      </c>
      <c r="B52" s="3">
        <f>2669.21</f>
        <v>2669.21</v>
      </c>
    </row>
    <row r="53" spans="1:2" x14ac:dyDescent="0.25">
      <c r="A53" s="2" t="s">
        <v>22</v>
      </c>
      <c r="B53" s="3">
        <f>4254.86</f>
        <v>4254.8599999999997</v>
      </c>
    </row>
    <row r="54" spans="1:2" x14ac:dyDescent="0.25">
      <c r="A54" s="2" t="s">
        <v>88</v>
      </c>
      <c r="B54" s="3">
        <f>216.58</f>
        <v>216.58</v>
      </c>
    </row>
    <row r="55" spans="1:2" x14ac:dyDescent="0.25">
      <c r="A55" s="2" t="s">
        <v>23</v>
      </c>
      <c r="B55" s="3">
        <f>490.79</f>
        <v>490.79</v>
      </c>
    </row>
    <row r="56" spans="1:2" x14ac:dyDescent="0.25">
      <c r="A56" s="2" t="s">
        <v>24</v>
      </c>
      <c r="B56" s="3">
        <f>3275.88</f>
        <v>3275.88</v>
      </c>
    </row>
    <row r="57" spans="1:2" x14ac:dyDescent="0.25">
      <c r="A57" s="2" t="s">
        <v>25</v>
      </c>
      <c r="B57" s="3">
        <f>2043.26</f>
        <v>2043.26</v>
      </c>
    </row>
    <row r="58" spans="1:2" x14ac:dyDescent="0.25">
      <c r="A58" s="2" t="s">
        <v>26</v>
      </c>
      <c r="B58" s="3">
        <f>4760</f>
        <v>4760</v>
      </c>
    </row>
    <row r="59" spans="1:2" x14ac:dyDescent="0.25">
      <c r="A59" s="2" t="s">
        <v>87</v>
      </c>
      <c r="B59" s="3">
        <f>18475</f>
        <v>18475</v>
      </c>
    </row>
    <row r="60" spans="1:2" x14ac:dyDescent="0.25">
      <c r="A60" s="2" t="s">
        <v>86</v>
      </c>
      <c r="B60" s="3">
        <f>274</f>
        <v>274</v>
      </c>
    </row>
    <row r="61" spans="1:2" x14ac:dyDescent="0.25">
      <c r="A61" s="2" t="s">
        <v>27</v>
      </c>
      <c r="B61" s="3">
        <f>1619</f>
        <v>1619</v>
      </c>
    </row>
    <row r="62" spans="1:2" x14ac:dyDescent="0.25">
      <c r="A62" s="2" t="s">
        <v>28</v>
      </c>
      <c r="B62" s="3">
        <f>9640.8</f>
        <v>9640.7999999999993</v>
      </c>
    </row>
    <row r="63" spans="1:2" x14ac:dyDescent="0.25">
      <c r="A63" s="2" t="s">
        <v>85</v>
      </c>
      <c r="B63" s="3">
        <f>1400</f>
        <v>1400</v>
      </c>
    </row>
    <row r="64" spans="1:2" x14ac:dyDescent="0.25">
      <c r="A64" s="2" t="s">
        <v>29</v>
      </c>
      <c r="B64" s="3">
        <f>4467</f>
        <v>4467</v>
      </c>
    </row>
    <row r="65" spans="1:2" x14ac:dyDescent="0.25">
      <c r="A65" s="2" t="s">
        <v>30</v>
      </c>
      <c r="B65" s="3">
        <f>10316.04</f>
        <v>10316.040000000001</v>
      </c>
    </row>
    <row r="66" spans="1:2" x14ac:dyDescent="0.25">
      <c r="A66" s="2" t="s">
        <v>31</v>
      </c>
      <c r="B66" s="3">
        <f>3165</f>
        <v>3165</v>
      </c>
    </row>
    <row r="67" spans="1:2" x14ac:dyDescent="0.25">
      <c r="A67" s="2" t="s">
        <v>84</v>
      </c>
      <c r="B67" s="3">
        <f>1320</f>
        <v>1320</v>
      </c>
    </row>
    <row r="68" spans="1:2" x14ac:dyDescent="0.25">
      <c r="A68" s="2" t="s">
        <v>83</v>
      </c>
      <c r="B68" s="3">
        <f>447.62</f>
        <v>447.62</v>
      </c>
    </row>
    <row r="69" spans="1:2" x14ac:dyDescent="0.25">
      <c r="A69" s="2" t="s">
        <v>32</v>
      </c>
      <c r="B69" s="3">
        <f>11288.17</f>
        <v>11288.17</v>
      </c>
    </row>
    <row r="70" spans="1:2" x14ac:dyDescent="0.25">
      <c r="A70" s="2" t="s">
        <v>82</v>
      </c>
      <c r="B70" s="3">
        <f>513.18</f>
        <v>513.17999999999995</v>
      </c>
    </row>
    <row r="71" spans="1:2" x14ac:dyDescent="0.25">
      <c r="A71" s="2" t="s">
        <v>81</v>
      </c>
      <c r="B71" s="3">
        <f>701</f>
        <v>701</v>
      </c>
    </row>
    <row r="72" spans="1:2" x14ac:dyDescent="0.25">
      <c r="A72" s="2" t="s">
        <v>80</v>
      </c>
      <c r="B72" s="3">
        <f>500</f>
        <v>500</v>
      </c>
    </row>
    <row r="73" spans="1:2" x14ac:dyDescent="0.25">
      <c r="A73" s="2" t="s">
        <v>33</v>
      </c>
      <c r="B73" s="3">
        <f>4429.6</f>
        <v>4429.6000000000004</v>
      </c>
    </row>
    <row r="74" spans="1:2" x14ac:dyDescent="0.25">
      <c r="A74" s="2" t="s">
        <v>34</v>
      </c>
      <c r="B74" s="3">
        <f>6970.16</f>
        <v>6970.16</v>
      </c>
    </row>
    <row r="75" spans="1:2" x14ac:dyDescent="0.25">
      <c r="A75" s="2" t="s">
        <v>35</v>
      </c>
      <c r="B75" s="3">
        <f>3658.85</f>
        <v>3658.85</v>
      </c>
    </row>
    <row r="76" spans="1:2" x14ac:dyDescent="0.25">
      <c r="A76" s="2" t="s">
        <v>36</v>
      </c>
      <c r="B76" s="3">
        <f>125554</f>
        <v>125554</v>
      </c>
    </row>
    <row r="77" spans="1:2" x14ac:dyDescent="0.25">
      <c r="A77" s="2" t="s">
        <v>37</v>
      </c>
      <c r="B77" s="3">
        <f>4334.03</f>
        <v>4334.03</v>
      </c>
    </row>
    <row r="78" spans="1:2" x14ac:dyDescent="0.25">
      <c r="A78" s="2" t="s">
        <v>38</v>
      </c>
      <c r="B78" s="3">
        <f>6051.69</f>
        <v>6051.69</v>
      </c>
    </row>
    <row r="79" spans="1:2" x14ac:dyDescent="0.25">
      <c r="A79" s="2" t="s">
        <v>39</v>
      </c>
      <c r="B79" s="3">
        <f>3743.9</f>
        <v>3743.9</v>
      </c>
    </row>
    <row r="80" spans="1:2" x14ac:dyDescent="0.25">
      <c r="A80" s="2" t="s">
        <v>40</v>
      </c>
      <c r="B80" s="3">
        <f>1051.1</f>
        <v>1051.0999999999999</v>
      </c>
    </row>
    <row r="81" spans="1:2" x14ac:dyDescent="0.25">
      <c r="A81" s="2" t="s">
        <v>79</v>
      </c>
      <c r="B81" s="3">
        <f>297.84</f>
        <v>297.83999999999997</v>
      </c>
    </row>
    <row r="82" spans="1:2" x14ac:dyDescent="0.25">
      <c r="A82" s="2" t="s">
        <v>41</v>
      </c>
      <c r="B82" s="3">
        <f>3165.46</f>
        <v>3165.46</v>
      </c>
    </row>
    <row r="83" spans="1:2" x14ac:dyDescent="0.25">
      <c r="A83" s="2" t="s">
        <v>42</v>
      </c>
      <c r="B83" s="3">
        <f>65</f>
        <v>65</v>
      </c>
    </row>
    <row r="84" spans="1:2" x14ac:dyDescent="0.25">
      <c r="A84" s="2" t="s">
        <v>43</v>
      </c>
      <c r="B84" s="3">
        <f>250</f>
        <v>250</v>
      </c>
    </row>
    <row r="85" spans="1:2" x14ac:dyDescent="0.25">
      <c r="A85" s="2" t="s">
        <v>78</v>
      </c>
      <c r="B85" s="3">
        <f>50.96</f>
        <v>50.96</v>
      </c>
    </row>
    <row r="86" spans="1:2" x14ac:dyDescent="0.25">
      <c r="A86" s="2" t="s">
        <v>77</v>
      </c>
      <c r="B86" s="3">
        <f>961.35</f>
        <v>961.35</v>
      </c>
    </row>
    <row r="87" spans="1:2" x14ac:dyDescent="0.25">
      <c r="A87" s="2" t="s">
        <v>76</v>
      </c>
      <c r="B87" s="5">
        <f>(B85)+(B86)</f>
        <v>1012.3100000000001</v>
      </c>
    </row>
    <row r="88" spans="1:2" x14ac:dyDescent="0.25">
      <c r="A88" s="2" t="s">
        <v>75</v>
      </c>
      <c r="B88" s="3">
        <f>-1250</f>
        <v>-1250</v>
      </c>
    </row>
    <row r="89" spans="1:2" x14ac:dyDescent="0.25">
      <c r="A89" s="2" t="s">
        <v>74</v>
      </c>
      <c r="B89" s="3">
        <f>108</f>
        <v>108</v>
      </c>
    </row>
    <row r="90" spans="1:2" x14ac:dyDescent="0.25">
      <c r="A90" s="2" t="s">
        <v>44</v>
      </c>
      <c r="B90" s="3">
        <f>837.65</f>
        <v>837.65</v>
      </c>
    </row>
    <row r="91" spans="1:2" x14ac:dyDescent="0.25">
      <c r="A91" s="2" t="s">
        <v>73</v>
      </c>
      <c r="B91" s="3">
        <f>286.04</f>
        <v>286.04000000000002</v>
      </c>
    </row>
    <row r="92" spans="1:2" x14ac:dyDescent="0.25">
      <c r="A92" s="2" t="s">
        <v>45</v>
      </c>
      <c r="B92" s="3">
        <f>13883.85</f>
        <v>13883.85</v>
      </c>
    </row>
    <row r="93" spans="1:2" x14ac:dyDescent="0.25">
      <c r="A93" s="2" t="s">
        <v>46</v>
      </c>
      <c r="B93" s="3">
        <f>582.66</f>
        <v>582.66</v>
      </c>
    </row>
    <row r="94" spans="1:2" x14ac:dyDescent="0.25">
      <c r="A94" s="2" t="s">
        <v>47</v>
      </c>
      <c r="B94" s="3">
        <f>165.98</f>
        <v>165.98</v>
      </c>
    </row>
    <row r="95" spans="1:2" x14ac:dyDescent="0.25">
      <c r="A95" s="2" t="s">
        <v>48</v>
      </c>
      <c r="B95" s="3">
        <f>2228.5</f>
        <v>2228.5</v>
      </c>
    </row>
    <row r="96" spans="1:2" x14ac:dyDescent="0.25">
      <c r="A96" s="2" t="s">
        <v>49</v>
      </c>
      <c r="B96" s="3">
        <f>12150</f>
        <v>12150</v>
      </c>
    </row>
    <row r="97" spans="1:2" x14ac:dyDescent="0.25">
      <c r="A97" s="2" t="s">
        <v>72</v>
      </c>
      <c r="B97" s="3">
        <f>5597.55</f>
        <v>5597.55</v>
      </c>
    </row>
    <row r="98" spans="1:2" x14ac:dyDescent="0.25">
      <c r="A98" s="2" t="s">
        <v>50</v>
      </c>
      <c r="B98" s="3">
        <f>1270.34</f>
        <v>1270.3399999999999</v>
      </c>
    </row>
    <row r="99" spans="1:2" x14ac:dyDescent="0.25">
      <c r="A99" s="2" t="s">
        <v>71</v>
      </c>
      <c r="B99" s="3">
        <f>2307.84</f>
        <v>2307.84</v>
      </c>
    </row>
    <row r="100" spans="1:2" x14ac:dyDescent="0.25">
      <c r="A100" s="2" t="s">
        <v>51</v>
      </c>
      <c r="B100" s="3">
        <f>644.81</f>
        <v>644.80999999999995</v>
      </c>
    </row>
    <row r="101" spans="1:2" x14ac:dyDescent="0.25">
      <c r="A101" s="2" t="s">
        <v>70</v>
      </c>
      <c r="B101" s="3">
        <f>23589.03</f>
        <v>23589.03</v>
      </c>
    </row>
    <row r="102" spans="1:2" x14ac:dyDescent="0.25">
      <c r="A102" s="2" t="s">
        <v>52</v>
      </c>
      <c r="B102" s="3">
        <f>33294.78</f>
        <v>33294.78</v>
      </c>
    </row>
    <row r="103" spans="1:2" x14ac:dyDescent="0.25">
      <c r="A103" s="2" t="s">
        <v>53</v>
      </c>
      <c r="B103" s="3">
        <f>917.3</f>
        <v>917.3</v>
      </c>
    </row>
    <row r="104" spans="1:2" x14ac:dyDescent="0.25">
      <c r="A104" s="2" t="s">
        <v>54</v>
      </c>
      <c r="B104" s="3">
        <f>2749.02</f>
        <v>2749.02</v>
      </c>
    </row>
    <row r="105" spans="1:2" x14ac:dyDescent="0.25">
      <c r="A105" s="2" t="s">
        <v>55</v>
      </c>
      <c r="B105" s="3">
        <f>19752.47</f>
        <v>19752.47</v>
      </c>
    </row>
    <row r="106" spans="1:2" x14ac:dyDescent="0.25">
      <c r="A106" s="2" t="s">
        <v>56</v>
      </c>
      <c r="B106" s="3">
        <f>278251.52</f>
        <v>278251.52000000002</v>
      </c>
    </row>
    <row r="107" spans="1:2" x14ac:dyDescent="0.25">
      <c r="A107" s="2" t="s">
        <v>57</v>
      </c>
      <c r="B107" s="3">
        <f>55432.3</f>
        <v>55432.3</v>
      </c>
    </row>
    <row r="108" spans="1:2" x14ac:dyDescent="0.25">
      <c r="A108" s="2" t="s">
        <v>69</v>
      </c>
      <c r="B108" s="3">
        <f>1674.15</f>
        <v>1674.15</v>
      </c>
    </row>
    <row r="109" spans="1:2" x14ac:dyDescent="0.25">
      <c r="A109" s="2" t="s">
        <v>58</v>
      </c>
      <c r="B109" s="3">
        <f>22343.93</f>
        <v>22343.93</v>
      </c>
    </row>
    <row r="110" spans="1:2" x14ac:dyDescent="0.25">
      <c r="A110" s="2" t="s">
        <v>59</v>
      </c>
      <c r="B110" s="3">
        <f>856.32</f>
        <v>856.32</v>
      </c>
    </row>
    <row r="111" spans="1:2" x14ac:dyDescent="0.25">
      <c r="A111" s="2" t="s">
        <v>68</v>
      </c>
      <c r="B111" s="3">
        <f>2964</f>
        <v>2964</v>
      </c>
    </row>
    <row r="112" spans="1:2" x14ac:dyDescent="0.25">
      <c r="A112" s="2" t="s">
        <v>60</v>
      </c>
      <c r="B112" s="5">
        <f>(((((((((((((((((((((((((((((((((((((((((((((((((((((((((((((((B46)+(B47))+(B48))+(B49))+(B50))+(B51))+(B52))+(B53))+(B54))+(B55))+(B56))+(B57))+(B58))+(B59))+(B60))+(B61))+(B62))+(B63))+(B64))+(B65))+(B66))+(B67))+(B68))+(B69))+(B70))+(B71))+(B72))+(B73))+(B74))+(B75))+(B76))+(B77))+(B78))+(B79))+(B80))+(B81))+(B82))+(B83))+(B84))+(B87))+(B88))+(B89))+(B90))+(B91))+(B92))+(B93))+(B94))+(B95))+(B96))+(B97))+(B98))+(B99))+(B100))+(B101))+(B102))+(B103))+(B104))+(B105))+(B106))+(B107))+(B108))+(B109))+(B110))+(B111)</f>
        <v>726482.85000000021</v>
      </c>
    </row>
    <row r="113" spans="1:2" x14ac:dyDescent="0.25">
      <c r="A113" s="2" t="s">
        <v>61</v>
      </c>
      <c r="B113" s="7">
        <f>(B44)-(B112)</f>
        <v>80256.45999999973</v>
      </c>
    </row>
    <row r="114" spans="1:2" x14ac:dyDescent="0.25">
      <c r="A114" s="2" t="s">
        <v>62</v>
      </c>
      <c r="B114" s="5">
        <f>(B113)+(0)</f>
        <v>80256.45999999973</v>
      </c>
    </row>
    <row r="115" spans="1:2" x14ac:dyDescent="0.25">
      <c r="A115" s="2"/>
      <c r="B115" s="3"/>
    </row>
    <row r="118" spans="1:2" x14ac:dyDescent="0.25">
      <c r="A118" s="9" t="s">
        <v>67</v>
      </c>
      <c r="B118" s="10"/>
    </row>
  </sheetData>
  <mergeCells count="4">
    <mergeCell ref="A118:B118"/>
    <mergeCell ref="A1:B1"/>
    <mergeCell ref="A2:B2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4E393-5873-46D4-8E9B-B252B8E0B5E7}">
  <dimension ref="A1:B73"/>
  <sheetViews>
    <sheetView topLeftCell="A52" workbookViewId="0">
      <selection activeCell="D77" sqref="D77"/>
    </sheetView>
  </sheetViews>
  <sheetFormatPr defaultRowHeight="15" x14ac:dyDescent="0.25"/>
  <cols>
    <col min="1" max="1" width="41.28515625" customWidth="1"/>
    <col min="2" max="2" width="27.42578125" customWidth="1"/>
  </cols>
  <sheetData>
    <row r="1" spans="1:2" ht="18" x14ac:dyDescent="0.25">
      <c r="A1" s="11" t="s">
        <v>64</v>
      </c>
      <c r="B1" s="10"/>
    </row>
    <row r="2" spans="1:2" ht="18" x14ac:dyDescent="0.25">
      <c r="A2" s="11" t="s">
        <v>182</v>
      </c>
      <c r="B2" s="10"/>
    </row>
    <row r="3" spans="1:2" x14ac:dyDescent="0.25">
      <c r="A3" s="12" t="s">
        <v>181</v>
      </c>
      <c r="B3" s="10"/>
    </row>
    <row r="5" spans="1:2" x14ac:dyDescent="0.25">
      <c r="B5" s="1" t="s">
        <v>0</v>
      </c>
    </row>
    <row r="6" spans="1:2" x14ac:dyDescent="0.25">
      <c r="A6" s="2" t="s">
        <v>180</v>
      </c>
      <c r="B6" s="3"/>
    </row>
    <row r="7" spans="1:2" x14ac:dyDescent="0.25">
      <c r="A7" s="2" t="s">
        <v>179</v>
      </c>
      <c r="B7" s="3"/>
    </row>
    <row r="8" spans="1:2" x14ac:dyDescent="0.25">
      <c r="A8" s="2" t="s">
        <v>178</v>
      </c>
      <c r="B8" s="3"/>
    </row>
    <row r="9" spans="1:2" x14ac:dyDescent="0.25">
      <c r="A9" s="2" t="s">
        <v>177</v>
      </c>
      <c r="B9" s="3">
        <f>879195.01</f>
        <v>879195.01</v>
      </c>
    </row>
    <row r="10" spans="1:2" x14ac:dyDescent="0.25">
      <c r="A10" s="2" t="s">
        <v>176</v>
      </c>
      <c r="B10" s="3">
        <f>21479.02</f>
        <v>21479.02</v>
      </c>
    </row>
    <row r="11" spans="1:2" x14ac:dyDescent="0.25">
      <c r="A11" s="2" t="s">
        <v>175</v>
      </c>
      <c r="B11" s="3">
        <f>10</f>
        <v>10</v>
      </c>
    </row>
    <row r="12" spans="1:2" x14ac:dyDescent="0.25">
      <c r="A12" s="2" t="s">
        <v>174</v>
      </c>
      <c r="B12" s="3">
        <f>0</f>
        <v>0</v>
      </c>
    </row>
    <row r="13" spans="1:2" x14ac:dyDescent="0.25">
      <c r="A13" s="2" t="s">
        <v>173</v>
      </c>
      <c r="B13" s="3">
        <f>521699.3</f>
        <v>521699.3</v>
      </c>
    </row>
    <row r="14" spans="1:2" x14ac:dyDescent="0.25">
      <c r="A14" s="2" t="s">
        <v>172</v>
      </c>
      <c r="B14" s="3">
        <f>269843.84</f>
        <v>269843.84000000003</v>
      </c>
    </row>
    <row r="15" spans="1:2" x14ac:dyDescent="0.25">
      <c r="A15" s="2" t="s">
        <v>171</v>
      </c>
      <c r="B15" s="3">
        <f>0</f>
        <v>0</v>
      </c>
    </row>
    <row r="16" spans="1:2" x14ac:dyDescent="0.25">
      <c r="A16" s="2" t="s">
        <v>170</v>
      </c>
      <c r="B16" s="3">
        <f>500000</f>
        <v>500000</v>
      </c>
    </row>
    <row r="17" spans="1:2" x14ac:dyDescent="0.25">
      <c r="A17" s="2" t="s">
        <v>169</v>
      </c>
      <c r="B17" s="3">
        <f>0</f>
        <v>0</v>
      </c>
    </row>
    <row r="18" spans="1:2" x14ac:dyDescent="0.25">
      <c r="A18" s="2" t="s">
        <v>168</v>
      </c>
      <c r="B18" s="3">
        <f>258544.7</f>
        <v>258544.7</v>
      </c>
    </row>
    <row r="19" spans="1:2" x14ac:dyDescent="0.25">
      <c r="A19" s="2" t="s">
        <v>167</v>
      </c>
      <c r="B19" s="3">
        <f>5909.6</f>
        <v>5909.6</v>
      </c>
    </row>
    <row r="20" spans="1:2" x14ac:dyDescent="0.25">
      <c r="A20" s="2" t="s">
        <v>166</v>
      </c>
      <c r="B20" s="5">
        <f>((((((((((B9)+(B10))+(B11))+(B12))+(B13))+(B14))+(B15))+(B16))+(B17))+(B18))+(B19)</f>
        <v>2456681.4700000002</v>
      </c>
    </row>
    <row r="21" spans="1:2" x14ac:dyDescent="0.25">
      <c r="A21" s="2" t="s">
        <v>165</v>
      </c>
      <c r="B21" s="3"/>
    </row>
    <row r="22" spans="1:2" x14ac:dyDescent="0.25">
      <c r="A22" s="2" t="s">
        <v>164</v>
      </c>
      <c r="B22" s="3">
        <f>36465.44</f>
        <v>36465.440000000002</v>
      </c>
    </row>
    <row r="23" spans="1:2" x14ac:dyDescent="0.25">
      <c r="A23" s="2" t="s">
        <v>163</v>
      </c>
      <c r="B23" s="3">
        <f>80250</f>
        <v>80250</v>
      </c>
    </row>
    <row r="24" spans="1:2" x14ac:dyDescent="0.25">
      <c r="A24" s="2" t="s">
        <v>162</v>
      </c>
      <c r="B24" s="5">
        <f>(B22)+(B23)</f>
        <v>116715.44</v>
      </c>
    </row>
    <row r="25" spans="1:2" x14ac:dyDescent="0.25">
      <c r="A25" s="2" t="s">
        <v>161</v>
      </c>
      <c r="B25" s="3"/>
    </row>
    <row r="26" spans="1:2" x14ac:dyDescent="0.25">
      <c r="A26" s="2" t="s">
        <v>160</v>
      </c>
      <c r="B26" s="3">
        <f>1437</f>
        <v>1437</v>
      </c>
    </row>
    <row r="27" spans="1:2" x14ac:dyDescent="0.25">
      <c r="A27" s="2" t="s">
        <v>159</v>
      </c>
      <c r="B27" s="3">
        <f>0</f>
        <v>0</v>
      </c>
    </row>
    <row r="28" spans="1:2" x14ac:dyDescent="0.25">
      <c r="A28" s="2" t="s">
        <v>158</v>
      </c>
      <c r="B28" s="3">
        <f>5815.62</f>
        <v>5815.62</v>
      </c>
    </row>
    <row r="29" spans="1:2" x14ac:dyDescent="0.25">
      <c r="A29" s="2" t="s">
        <v>157</v>
      </c>
      <c r="B29" s="5">
        <f>((B26)+(B27))+(B28)</f>
        <v>7252.62</v>
      </c>
    </row>
    <row r="30" spans="1:2" x14ac:dyDescent="0.25">
      <c r="A30" s="2" t="s">
        <v>156</v>
      </c>
      <c r="B30" s="5">
        <f>((B20)+(B24))+(B29)</f>
        <v>2580649.5300000003</v>
      </c>
    </row>
    <row r="31" spans="1:2" x14ac:dyDescent="0.25">
      <c r="A31" s="2" t="s">
        <v>155</v>
      </c>
      <c r="B31" s="3"/>
    </row>
    <row r="32" spans="1:2" x14ac:dyDescent="0.25">
      <c r="A32" s="2" t="s">
        <v>154</v>
      </c>
      <c r="B32" s="3">
        <f>101543.72</f>
        <v>101543.72</v>
      </c>
    </row>
    <row r="33" spans="1:2" x14ac:dyDescent="0.25">
      <c r="A33" s="2" t="s">
        <v>153</v>
      </c>
      <c r="B33" s="3">
        <f>0</f>
        <v>0</v>
      </c>
    </row>
    <row r="34" spans="1:2" x14ac:dyDescent="0.25">
      <c r="A34" s="2" t="s">
        <v>152</v>
      </c>
      <c r="B34" s="3">
        <f>91706.42</f>
        <v>91706.42</v>
      </c>
    </row>
    <row r="35" spans="1:2" x14ac:dyDescent="0.25">
      <c r="A35" s="2" t="s">
        <v>151</v>
      </c>
      <c r="B35" s="3">
        <f>-130759.62</f>
        <v>-130759.62</v>
      </c>
    </row>
    <row r="36" spans="1:2" x14ac:dyDescent="0.25">
      <c r="A36" s="2" t="s">
        <v>150</v>
      </c>
      <c r="B36" s="5">
        <f>(((B32)+(B33))+(B34))+(B35)</f>
        <v>62490.520000000019</v>
      </c>
    </row>
    <row r="37" spans="1:2" x14ac:dyDescent="0.25">
      <c r="A37" s="2" t="s">
        <v>149</v>
      </c>
      <c r="B37" s="3"/>
    </row>
    <row r="38" spans="1:2" x14ac:dyDescent="0.25">
      <c r="A38" s="2" t="s">
        <v>148</v>
      </c>
      <c r="B38" s="3">
        <f>0</f>
        <v>0</v>
      </c>
    </row>
    <row r="39" spans="1:2" x14ac:dyDescent="0.25">
      <c r="A39" s="2" t="s">
        <v>147</v>
      </c>
      <c r="B39" s="3">
        <f>1070000</f>
        <v>1070000</v>
      </c>
    </row>
    <row r="40" spans="1:2" x14ac:dyDescent="0.25">
      <c r="A40" s="2" t="s">
        <v>146</v>
      </c>
      <c r="B40" s="3">
        <f>154933.75</f>
        <v>154933.75</v>
      </c>
    </row>
    <row r="41" spans="1:2" x14ac:dyDescent="0.25">
      <c r="A41" s="2" t="s">
        <v>145</v>
      </c>
      <c r="B41" s="5">
        <f>((B38)+(B39))+(B40)</f>
        <v>1224933.75</v>
      </c>
    </row>
    <row r="42" spans="1:2" x14ac:dyDescent="0.25">
      <c r="A42" s="2" t="s">
        <v>144</v>
      </c>
      <c r="B42" s="5">
        <f>((B30)+(B36))+(B41)</f>
        <v>3868073.8000000003</v>
      </c>
    </row>
    <row r="43" spans="1:2" x14ac:dyDescent="0.25">
      <c r="A43" s="2" t="s">
        <v>143</v>
      </c>
      <c r="B43" s="3"/>
    </row>
    <row r="44" spans="1:2" x14ac:dyDescent="0.25">
      <c r="A44" s="2" t="s">
        <v>142</v>
      </c>
      <c r="B44" s="3"/>
    </row>
    <row r="45" spans="1:2" x14ac:dyDescent="0.25">
      <c r="A45" s="2" t="s">
        <v>141</v>
      </c>
      <c r="B45" s="3"/>
    </row>
    <row r="46" spans="1:2" x14ac:dyDescent="0.25">
      <c r="A46" s="2" t="s">
        <v>140</v>
      </c>
      <c r="B46" s="3"/>
    </row>
    <row r="47" spans="1:2" x14ac:dyDescent="0.25">
      <c r="A47" s="2" t="s">
        <v>139</v>
      </c>
      <c r="B47" s="3">
        <f>37325.52</f>
        <v>37325.519999999997</v>
      </c>
    </row>
    <row r="48" spans="1:2" x14ac:dyDescent="0.25">
      <c r="A48" s="2" t="s">
        <v>138</v>
      </c>
      <c r="B48" s="5">
        <f>B47</f>
        <v>37325.519999999997</v>
      </c>
    </row>
    <row r="49" spans="1:2" x14ac:dyDescent="0.25">
      <c r="A49" s="2" t="s">
        <v>137</v>
      </c>
      <c r="B49" s="3"/>
    </row>
    <row r="50" spans="1:2" x14ac:dyDescent="0.25">
      <c r="A50" s="2" t="s">
        <v>136</v>
      </c>
      <c r="B50" s="3">
        <f>11831.37</f>
        <v>11831.37</v>
      </c>
    </row>
    <row r="51" spans="1:2" x14ac:dyDescent="0.25">
      <c r="A51" s="2" t="s">
        <v>135</v>
      </c>
      <c r="B51" s="3">
        <f>73579.22</f>
        <v>73579.22</v>
      </c>
    </row>
    <row r="52" spans="1:2" x14ac:dyDescent="0.25">
      <c r="A52" s="2" t="s">
        <v>134</v>
      </c>
      <c r="B52" s="3">
        <f>0</f>
        <v>0</v>
      </c>
    </row>
    <row r="53" spans="1:2" x14ac:dyDescent="0.25">
      <c r="A53" s="2" t="s">
        <v>133</v>
      </c>
      <c r="B53" s="3">
        <f>-250</f>
        <v>-250</v>
      </c>
    </row>
    <row r="54" spans="1:2" x14ac:dyDescent="0.25">
      <c r="A54" s="2" t="s">
        <v>132</v>
      </c>
      <c r="B54" s="3">
        <f>3500</f>
        <v>3500</v>
      </c>
    </row>
    <row r="55" spans="1:2" x14ac:dyDescent="0.25">
      <c r="A55" s="2" t="s">
        <v>131</v>
      </c>
      <c r="B55" s="3">
        <f>0</f>
        <v>0</v>
      </c>
    </row>
    <row r="56" spans="1:2" x14ac:dyDescent="0.25">
      <c r="A56" s="2" t="s">
        <v>130</v>
      </c>
      <c r="B56" s="3">
        <f>-893.65</f>
        <v>-893.65</v>
      </c>
    </row>
    <row r="57" spans="1:2" x14ac:dyDescent="0.25">
      <c r="A57" s="2" t="s">
        <v>129</v>
      </c>
      <c r="B57" s="3">
        <f>-2960.35</f>
        <v>-2960.35</v>
      </c>
    </row>
    <row r="58" spans="1:2" x14ac:dyDescent="0.25">
      <c r="A58" s="2" t="s">
        <v>128</v>
      </c>
      <c r="B58" s="5">
        <f>(((((((B50)+(B51))+(B52))+(B53))+(B54))+(B55))+(B56))+(B57)</f>
        <v>84806.59</v>
      </c>
    </row>
    <row r="59" spans="1:2" x14ac:dyDescent="0.25">
      <c r="A59" s="2" t="s">
        <v>127</v>
      </c>
      <c r="B59" s="5">
        <f>(B48)+(B58)</f>
        <v>122132.10999999999</v>
      </c>
    </row>
    <row r="60" spans="1:2" x14ac:dyDescent="0.25">
      <c r="A60" s="2" t="s">
        <v>126</v>
      </c>
      <c r="B60" s="3"/>
    </row>
    <row r="61" spans="1:2" x14ac:dyDescent="0.25">
      <c r="A61" s="2" t="s">
        <v>125</v>
      </c>
      <c r="B61" s="3">
        <f>0</f>
        <v>0</v>
      </c>
    </row>
    <row r="62" spans="1:2" x14ac:dyDescent="0.25">
      <c r="A62" s="2" t="s">
        <v>124</v>
      </c>
      <c r="B62" s="5">
        <f>B61</f>
        <v>0</v>
      </c>
    </row>
    <row r="63" spans="1:2" x14ac:dyDescent="0.25">
      <c r="A63" s="2" t="s">
        <v>123</v>
      </c>
      <c r="B63" s="5">
        <f>(B59)+(B62)</f>
        <v>122132.10999999999</v>
      </c>
    </row>
    <row r="64" spans="1:2" x14ac:dyDescent="0.25">
      <c r="A64" s="2" t="s">
        <v>122</v>
      </c>
      <c r="B64" s="3"/>
    </row>
    <row r="65" spans="1:2" x14ac:dyDescent="0.25">
      <c r="A65" s="2" t="s">
        <v>121</v>
      </c>
      <c r="B65" s="3">
        <f>530591.1</f>
        <v>530591.1</v>
      </c>
    </row>
    <row r="66" spans="1:2" x14ac:dyDescent="0.25">
      <c r="A66" s="2" t="s">
        <v>120</v>
      </c>
      <c r="B66" s="3">
        <f>3177160.81</f>
        <v>3177160.81</v>
      </c>
    </row>
    <row r="67" spans="1:2" x14ac:dyDescent="0.25">
      <c r="A67" s="2" t="s">
        <v>119</v>
      </c>
      <c r="B67" s="8">
        <f>38189.78</f>
        <v>38189.78</v>
      </c>
    </row>
    <row r="68" spans="1:2" x14ac:dyDescent="0.25">
      <c r="A68" s="2" t="s">
        <v>118</v>
      </c>
      <c r="B68" s="5">
        <f>((B65)+(B66))+(B67)</f>
        <v>3745941.69</v>
      </c>
    </row>
    <row r="69" spans="1:2" x14ac:dyDescent="0.25">
      <c r="A69" s="2" t="s">
        <v>117</v>
      </c>
      <c r="B69" s="5">
        <f>(B63)+(B68)</f>
        <v>3868073.8</v>
      </c>
    </row>
    <row r="70" spans="1:2" x14ac:dyDescent="0.25">
      <c r="A70" s="2"/>
      <c r="B70" s="3"/>
    </row>
    <row r="73" spans="1:2" x14ac:dyDescent="0.25">
      <c r="A73" s="9" t="s">
        <v>116</v>
      </c>
      <c r="B73" s="10"/>
    </row>
  </sheetData>
  <mergeCells count="4">
    <mergeCell ref="A73:B73"/>
    <mergeCell ref="A1:B1"/>
    <mergeCell ref="A2:B2"/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F1D56-B03D-4586-A94D-A776D74367DD}">
  <dimension ref="A1:B21"/>
  <sheetViews>
    <sheetView workbookViewId="0">
      <selection activeCell="C14" sqref="C14"/>
    </sheetView>
  </sheetViews>
  <sheetFormatPr defaultRowHeight="15" x14ac:dyDescent="0.25"/>
  <cols>
    <col min="1" max="1" width="70.42578125" customWidth="1"/>
    <col min="2" max="2" width="20.5703125" customWidth="1"/>
  </cols>
  <sheetData>
    <row r="1" spans="1:2" ht="18" x14ac:dyDescent="0.25">
      <c r="A1" s="11" t="s">
        <v>64</v>
      </c>
      <c r="B1" s="10"/>
    </row>
    <row r="2" spans="1:2" ht="18" x14ac:dyDescent="0.25">
      <c r="A2" s="11" t="s">
        <v>196</v>
      </c>
      <c r="B2" s="10"/>
    </row>
    <row r="3" spans="1:2" x14ac:dyDescent="0.25">
      <c r="A3" s="12" t="s">
        <v>66</v>
      </c>
      <c r="B3" s="10"/>
    </row>
    <row r="5" spans="1:2" x14ac:dyDescent="0.25">
      <c r="B5" s="1" t="s">
        <v>0</v>
      </c>
    </row>
    <row r="6" spans="1:2" x14ac:dyDescent="0.25">
      <c r="A6" s="2" t="s">
        <v>195</v>
      </c>
      <c r="B6" s="3"/>
    </row>
    <row r="7" spans="1:2" x14ac:dyDescent="0.25">
      <c r="A7" s="2" t="s">
        <v>194</v>
      </c>
      <c r="B7" s="8">
        <f>-76841.89</f>
        <v>-76841.89</v>
      </c>
    </row>
    <row r="8" spans="1:2" x14ac:dyDescent="0.25">
      <c r="A8" s="2" t="s">
        <v>193</v>
      </c>
      <c r="B8" s="3"/>
    </row>
    <row r="9" spans="1:2" x14ac:dyDescent="0.25">
      <c r="A9" s="2" t="s">
        <v>192</v>
      </c>
      <c r="B9" s="3">
        <f>-6366.84</f>
        <v>-6366.84</v>
      </c>
    </row>
    <row r="10" spans="1:2" x14ac:dyDescent="0.25">
      <c r="A10" s="2" t="s">
        <v>191</v>
      </c>
      <c r="B10" s="3">
        <f>3292.33</f>
        <v>3292.33</v>
      </c>
    </row>
    <row r="11" spans="1:2" x14ac:dyDescent="0.25">
      <c r="A11" s="2" t="s">
        <v>190</v>
      </c>
      <c r="B11" s="3">
        <f>12411.09</f>
        <v>12411.09</v>
      </c>
    </row>
    <row r="12" spans="1:2" x14ac:dyDescent="0.25">
      <c r="A12" s="2" t="s">
        <v>189</v>
      </c>
      <c r="B12" s="3">
        <f>-502.6</f>
        <v>-502.6</v>
      </c>
    </row>
    <row r="13" spans="1:2" x14ac:dyDescent="0.25">
      <c r="A13" s="2" t="s">
        <v>188</v>
      </c>
      <c r="B13" s="5">
        <f>((((B8)+(B9))+(B10))+(B11))+(B12)</f>
        <v>8833.98</v>
      </c>
    </row>
    <row r="14" spans="1:2" x14ac:dyDescent="0.25">
      <c r="A14" s="2" t="s">
        <v>187</v>
      </c>
      <c r="B14" s="5">
        <f>(B7)+(B13)</f>
        <v>-68007.91</v>
      </c>
    </row>
    <row r="15" spans="1:2" x14ac:dyDescent="0.25">
      <c r="A15" s="2" t="s">
        <v>186</v>
      </c>
      <c r="B15" s="5">
        <f>B14</f>
        <v>-68007.91</v>
      </c>
    </row>
    <row r="16" spans="1:2" x14ac:dyDescent="0.25">
      <c r="A16" s="2" t="s">
        <v>185</v>
      </c>
      <c r="B16" s="3">
        <f>2522126.38</f>
        <v>2522126.38</v>
      </c>
    </row>
    <row r="17" spans="1:2" x14ac:dyDescent="0.25">
      <c r="A17" s="2" t="s">
        <v>184</v>
      </c>
      <c r="B17" s="5">
        <f>(B15)+(B16)</f>
        <v>2454118.4699999997</v>
      </c>
    </row>
    <row r="18" spans="1:2" x14ac:dyDescent="0.25">
      <c r="A18" s="2"/>
      <c r="B18" s="3"/>
    </row>
    <row r="21" spans="1:2" x14ac:dyDescent="0.25">
      <c r="A21" s="9" t="s">
        <v>183</v>
      </c>
      <c r="B21" s="10"/>
    </row>
  </sheetData>
  <mergeCells count="4">
    <mergeCell ref="A21:B21"/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Statement of Activity</vt:lpstr>
      <vt:lpstr>Statement of ActivityYTD</vt:lpstr>
      <vt:lpstr>Statement of Financial Position</vt:lpstr>
      <vt:lpstr>Statement of Cash Flows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Delia Barnett</cp:lastModifiedBy>
  <dcterms:created xsi:type="dcterms:W3CDTF">2023-01-10T21:35:53Z</dcterms:created>
  <dcterms:modified xsi:type="dcterms:W3CDTF">2023-01-11T20:18:46Z</dcterms:modified>
</cp:coreProperties>
</file>