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Board\"/>
    </mc:Choice>
  </mc:AlternateContent>
  <xr:revisionPtr revIDLastSave="0" documentId="13_ncr:1_{D154EC96-54A7-451E-A17D-F9A11ABC4C75}" xr6:coauthVersionLast="46" xr6:coauthVersionMax="46" xr10:uidLastSave="{00000000-0000-0000-0000-000000000000}"/>
  <bookViews>
    <workbookView xWindow="-120" yWindow="-120" windowWidth="20640" windowHeight="11160" activeTab="2" xr2:uid="{00000000-000D-0000-FFFF-FFFF00000000}"/>
  </bookViews>
  <sheets>
    <sheet name="Bank accounts" sheetId="1" r:id="rId1"/>
    <sheet name="Statement of Activity" sheetId="2" r:id="rId2"/>
    <sheet name="Statement of Financial Position" sheetId="3" r:id="rId3"/>
  </sheets>
  <calcPr calcId="191029"/>
</workbook>
</file>

<file path=xl/calcChain.xml><?xml version="1.0" encoding="utf-8"?>
<calcChain xmlns="http://schemas.openxmlformats.org/spreadsheetml/2006/main">
  <c r="F64" i="3" l="1"/>
  <c r="F63" i="3"/>
  <c r="F54" i="3"/>
  <c r="F47" i="3"/>
  <c r="F41" i="3"/>
  <c r="F34" i="3"/>
  <c r="F29" i="3"/>
  <c r="F35" i="3" s="1"/>
  <c r="F48" i="3" s="1"/>
  <c r="F24" i="3"/>
  <c r="F32" i="3"/>
  <c r="F17" i="3"/>
  <c r="F16" i="3"/>
  <c r="F15" i="3"/>
  <c r="F14" i="3"/>
  <c r="F13" i="3"/>
  <c r="F12" i="3"/>
  <c r="F11" i="3"/>
  <c r="F10" i="3"/>
  <c r="F9" i="3"/>
  <c r="F189" i="2"/>
  <c r="F178" i="2"/>
  <c r="G178" i="2" s="1"/>
  <c r="G129" i="2"/>
  <c r="G204" i="2"/>
  <c r="G31" i="2"/>
  <c r="G22" i="2"/>
  <c r="G17" i="2"/>
  <c r="G13" i="2"/>
  <c r="G206" i="2"/>
  <c r="G205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79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0" i="2"/>
  <c r="G29" i="2"/>
  <c r="G28" i="2"/>
  <c r="G27" i="2"/>
  <c r="G26" i="2"/>
  <c r="G25" i="2"/>
  <c r="G24" i="2"/>
  <c r="G23" i="2"/>
  <c r="G21" i="2"/>
  <c r="G20" i="2"/>
  <c r="G19" i="2"/>
  <c r="G18" i="2"/>
  <c r="G16" i="2"/>
  <c r="G15" i="2"/>
  <c r="G14" i="2"/>
  <c r="G12" i="2"/>
  <c r="G11" i="2"/>
  <c r="G10" i="2"/>
  <c r="G9" i="2"/>
  <c r="G8" i="2"/>
  <c r="G7" i="2"/>
  <c r="F93" i="2"/>
  <c r="F80" i="2"/>
  <c r="F77" i="2"/>
  <c r="F68" i="2"/>
  <c r="F58" i="2"/>
  <c r="F22" i="2"/>
  <c r="F14" i="2"/>
  <c r="F13" i="2"/>
  <c r="F12" i="2"/>
  <c r="F9" i="2"/>
  <c r="F8" i="2"/>
  <c r="F7" i="2"/>
  <c r="B9" i="3"/>
  <c r="C9" i="3"/>
  <c r="D9" i="3"/>
  <c r="E9" i="3"/>
  <c r="B10" i="3"/>
  <c r="C10" i="3"/>
  <c r="D10" i="3"/>
  <c r="E10" i="3"/>
  <c r="B11" i="3"/>
  <c r="C11" i="3"/>
  <c r="D11" i="3"/>
  <c r="E11" i="3"/>
  <c r="C12" i="3"/>
  <c r="D12" i="3"/>
  <c r="E12" i="3"/>
  <c r="B13" i="3"/>
  <c r="C13" i="3"/>
  <c r="D13" i="3"/>
  <c r="E13" i="3"/>
  <c r="B14" i="3"/>
  <c r="C14" i="3"/>
  <c r="D14" i="3"/>
  <c r="E14" i="3"/>
  <c r="C15" i="3"/>
  <c r="D15" i="3"/>
  <c r="E15" i="3"/>
  <c r="B16" i="3"/>
  <c r="C16" i="3"/>
  <c r="D16" i="3"/>
  <c r="E16" i="3"/>
  <c r="B17" i="3"/>
  <c r="C17" i="3"/>
  <c r="D17" i="3"/>
  <c r="E17" i="3"/>
  <c r="B18" i="3"/>
  <c r="C18" i="3"/>
  <c r="D18" i="3"/>
  <c r="E18" i="3"/>
  <c r="C19" i="3"/>
  <c r="D19" i="3"/>
  <c r="E19" i="3" s="1"/>
  <c r="B20" i="3"/>
  <c r="C20" i="3"/>
  <c r="D20" i="3"/>
  <c r="E20" i="3"/>
  <c r="B21" i="3"/>
  <c r="C21" i="3" s="1"/>
  <c r="C22" i="3"/>
  <c r="D22" i="3"/>
  <c r="E22" i="3" s="1"/>
  <c r="C23" i="3"/>
  <c r="D23" i="3"/>
  <c r="E23" i="3" s="1"/>
  <c r="B24" i="3"/>
  <c r="B26" i="3"/>
  <c r="C26" i="3"/>
  <c r="D26" i="3"/>
  <c r="E26" i="3"/>
  <c r="B27" i="3"/>
  <c r="C27" i="3"/>
  <c r="D27" i="3" s="1"/>
  <c r="E27" i="3" s="1"/>
  <c r="B28" i="3"/>
  <c r="B29" i="3" s="1"/>
  <c r="C28" i="3"/>
  <c r="D28" i="3"/>
  <c r="E28" i="3"/>
  <c r="B31" i="3"/>
  <c r="B34" i="3" s="1"/>
  <c r="C31" i="3"/>
  <c r="D31" i="3"/>
  <c r="E31" i="3"/>
  <c r="B32" i="3"/>
  <c r="C32" i="3"/>
  <c r="D32" i="3"/>
  <c r="E32" i="3"/>
  <c r="C33" i="3"/>
  <c r="D33" i="3"/>
  <c r="E33" i="3" s="1"/>
  <c r="C34" i="3"/>
  <c r="D34" i="3"/>
  <c r="B37" i="3"/>
  <c r="B41" i="3" s="1"/>
  <c r="C37" i="3"/>
  <c r="D37" i="3"/>
  <c r="E37" i="3" s="1"/>
  <c r="B38" i="3"/>
  <c r="C38" i="3"/>
  <c r="D38" i="3"/>
  <c r="E38" i="3"/>
  <c r="B39" i="3"/>
  <c r="C39" i="3" s="1"/>
  <c r="D39" i="3" s="1"/>
  <c r="E39" i="3" s="1"/>
  <c r="B40" i="3"/>
  <c r="C40" i="3"/>
  <c r="D40" i="3" s="1"/>
  <c r="E40" i="3" s="1"/>
  <c r="B43" i="3"/>
  <c r="B47" i="3" s="1"/>
  <c r="C43" i="3"/>
  <c r="D43" i="3" s="1"/>
  <c r="B44" i="3"/>
  <c r="C44" i="3"/>
  <c r="D44" i="3"/>
  <c r="E44" i="3" s="1"/>
  <c r="C45" i="3"/>
  <c r="D45" i="3" s="1"/>
  <c r="E45" i="3" s="1"/>
  <c r="B46" i="3"/>
  <c r="C46" i="3"/>
  <c r="D46" i="3" s="1"/>
  <c r="E46" i="3" s="1"/>
  <c r="B53" i="3"/>
  <c r="B54" i="3" s="1"/>
  <c r="C53" i="3"/>
  <c r="C54" i="3" s="1"/>
  <c r="D53" i="3"/>
  <c r="D54" i="3" s="1"/>
  <c r="E53" i="3"/>
  <c r="E54" i="3"/>
  <c r="E64" i="3" s="1"/>
  <c r="E68" i="3" s="1"/>
  <c r="E74" i="3" s="1"/>
  <c r="B56" i="3"/>
  <c r="B63" i="3" s="1"/>
  <c r="C56" i="3"/>
  <c r="D56" i="3"/>
  <c r="E56" i="3"/>
  <c r="E63" i="3" s="1"/>
  <c r="B57" i="3"/>
  <c r="C57" i="3"/>
  <c r="D57" i="3"/>
  <c r="E57" i="3"/>
  <c r="C58" i="3"/>
  <c r="D58" i="3"/>
  <c r="E58" i="3"/>
  <c r="B59" i="3"/>
  <c r="C59" i="3"/>
  <c r="C63" i="3" s="1"/>
  <c r="D59" i="3"/>
  <c r="E59" i="3"/>
  <c r="B60" i="3"/>
  <c r="C60" i="3"/>
  <c r="D60" i="3"/>
  <c r="E60" i="3"/>
  <c r="B61" i="3"/>
  <c r="C61" i="3" s="1"/>
  <c r="D61" i="3" s="1"/>
  <c r="E61" i="3"/>
  <c r="C62" i="3"/>
  <c r="D62" i="3"/>
  <c r="E62" i="3"/>
  <c r="C66" i="3"/>
  <c r="D66" i="3"/>
  <c r="E66" i="3"/>
  <c r="B67" i="3"/>
  <c r="C67" i="3"/>
  <c r="D67" i="3"/>
  <c r="E67" i="3"/>
  <c r="B70" i="3"/>
  <c r="C70" i="3"/>
  <c r="C73" i="3" s="1"/>
  <c r="D70" i="3"/>
  <c r="E70" i="3" s="1"/>
  <c r="E73" i="3" s="1"/>
  <c r="F70" i="3"/>
  <c r="B71" i="3"/>
  <c r="C71" i="3"/>
  <c r="D71" i="3"/>
  <c r="E71" i="3" s="1"/>
  <c r="F71" i="3" s="1"/>
  <c r="F73" i="3" s="1"/>
  <c r="B72" i="3"/>
  <c r="C72" i="3"/>
  <c r="D72" i="3"/>
  <c r="E72" i="3"/>
  <c r="B73" i="3"/>
  <c r="B7" i="2"/>
  <c r="C7" i="2"/>
  <c r="D7" i="2"/>
  <c r="E7" i="2"/>
  <c r="B8" i="2"/>
  <c r="C8" i="2"/>
  <c r="D8" i="2"/>
  <c r="E8" i="2"/>
  <c r="B9" i="2"/>
  <c r="C9" i="2"/>
  <c r="D9" i="2"/>
  <c r="E9" i="2"/>
  <c r="E10" i="2"/>
  <c r="B12" i="2"/>
  <c r="C12" i="2"/>
  <c r="D12" i="2"/>
  <c r="E12" i="2"/>
  <c r="B13" i="2"/>
  <c r="C13" i="2"/>
  <c r="D13" i="2"/>
  <c r="E13" i="2"/>
  <c r="B14" i="2"/>
  <c r="C14" i="2"/>
  <c r="C22" i="2" s="1"/>
  <c r="D14" i="2"/>
  <c r="D22" i="2" s="1"/>
  <c r="E14" i="2"/>
  <c r="B15" i="2"/>
  <c r="C15" i="2"/>
  <c r="D15" i="2"/>
  <c r="D16" i="2"/>
  <c r="C17" i="2"/>
  <c r="D17" i="2"/>
  <c r="B18" i="2"/>
  <c r="D18" i="2"/>
  <c r="E18" i="2"/>
  <c r="D19" i="2"/>
  <c r="E19" i="2"/>
  <c r="B20" i="2"/>
  <c r="C21" i="2"/>
  <c r="B23" i="2"/>
  <c r="C23" i="2"/>
  <c r="B24" i="2"/>
  <c r="C24" i="2"/>
  <c r="B25" i="2"/>
  <c r="C25" i="2"/>
  <c r="D25" i="2"/>
  <c r="E25" i="2"/>
  <c r="B26" i="2"/>
  <c r="C26" i="2"/>
  <c r="D26" i="2"/>
  <c r="E26" i="2"/>
  <c r="B27" i="2"/>
  <c r="C27" i="2"/>
  <c r="D27" i="2"/>
  <c r="E27" i="2"/>
  <c r="B29" i="2"/>
  <c r="D30" i="2"/>
  <c r="D31" i="2"/>
  <c r="E31" i="2"/>
  <c r="B32" i="2"/>
  <c r="B33" i="2"/>
  <c r="B34" i="2"/>
  <c r="D34" i="2"/>
  <c r="E34" i="2"/>
  <c r="B36" i="2"/>
  <c r="C36" i="2"/>
  <c r="D36" i="2"/>
  <c r="E36" i="2"/>
  <c r="B37" i="2"/>
  <c r="C37" i="2"/>
  <c r="D37" i="2"/>
  <c r="E37" i="2"/>
  <c r="B38" i="2"/>
  <c r="C38" i="2"/>
  <c r="D38" i="2"/>
  <c r="E38" i="2"/>
  <c r="B39" i="2"/>
  <c r="C39" i="2"/>
  <c r="D39" i="2"/>
  <c r="E39" i="2"/>
  <c r="B40" i="2"/>
  <c r="C40" i="2"/>
  <c r="D40" i="2"/>
  <c r="E40" i="2"/>
  <c r="E41" i="2"/>
  <c r="C42" i="2"/>
  <c r="E42" i="2"/>
  <c r="B43" i="2"/>
  <c r="D43" i="2"/>
  <c r="E43" i="2"/>
  <c r="E44" i="2"/>
  <c r="D45" i="2"/>
  <c r="E45" i="2"/>
  <c r="B46" i="2"/>
  <c r="C46" i="2"/>
  <c r="D46" i="2"/>
  <c r="E46" i="2"/>
  <c r="B47" i="2"/>
  <c r="C47" i="2"/>
  <c r="D47" i="2"/>
  <c r="D48" i="2"/>
  <c r="E49" i="2"/>
  <c r="B51" i="2"/>
  <c r="C51" i="2"/>
  <c r="D51" i="2"/>
  <c r="E51" i="2"/>
  <c r="E58" i="2" s="1"/>
  <c r="B52" i="2"/>
  <c r="C52" i="2"/>
  <c r="D52" i="2"/>
  <c r="E52" i="2"/>
  <c r="B53" i="2"/>
  <c r="C53" i="2"/>
  <c r="D53" i="2"/>
  <c r="D58" i="2" s="1"/>
  <c r="B54" i="2"/>
  <c r="C54" i="2"/>
  <c r="D54" i="2"/>
  <c r="E54" i="2"/>
  <c r="B56" i="2"/>
  <c r="C56" i="2"/>
  <c r="D56" i="2"/>
  <c r="E56" i="2"/>
  <c r="B57" i="2"/>
  <c r="C57" i="2"/>
  <c r="D57" i="2"/>
  <c r="E57" i="2"/>
  <c r="D59" i="2"/>
  <c r="E59" i="2"/>
  <c r="B60" i="2"/>
  <c r="C60" i="2"/>
  <c r="E60" i="2"/>
  <c r="B61" i="2"/>
  <c r="C61" i="2"/>
  <c r="E61" i="2"/>
  <c r="B62" i="2"/>
  <c r="C62" i="2"/>
  <c r="E62" i="2"/>
  <c r="B63" i="2"/>
  <c r="C63" i="2"/>
  <c r="D63" i="2"/>
  <c r="E63" i="2"/>
  <c r="B64" i="2"/>
  <c r="C64" i="2"/>
  <c r="D64" i="2"/>
  <c r="E64" i="2"/>
  <c r="B65" i="2"/>
  <c r="C65" i="2"/>
  <c r="E65" i="2"/>
  <c r="C66" i="2"/>
  <c r="B67" i="2"/>
  <c r="C67" i="2"/>
  <c r="D67" i="2"/>
  <c r="E67" i="2"/>
  <c r="B70" i="2"/>
  <c r="C70" i="2"/>
  <c r="D70" i="2"/>
  <c r="E70" i="2"/>
  <c r="B71" i="2"/>
  <c r="C71" i="2"/>
  <c r="C77" i="2" s="1"/>
  <c r="D71" i="2"/>
  <c r="E71" i="2"/>
  <c r="B72" i="2"/>
  <c r="C72" i="2"/>
  <c r="D72" i="2"/>
  <c r="E72" i="2"/>
  <c r="B73" i="2"/>
  <c r="C73" i="2"/>
  <c r="D73" i="2"/>
  <c r="B74" i="2"/>
  <c r="C74" i="2"/>
  <c r="D74" i="2"/>
  <c r="B75" i="2"/>
  <c r="C75" i="2"/>
  <c r="D75" i="2"/>
  <c r="B76" i="2"/>
  <c r="C76" i="2"/>
  <c r="D76" i="2"/>
  <c r="E76" i="2"/>
  <c r="E77" i="2"/>
  <c r="D78" i="2"/>
  <c r="B79" i="2"/>
  <c r="C79" i="2"/>
  <c r="D79" i="2"/>
  <c r="E79" i="2"/>
  <c r="C80" i="2"/>
  <c r="E80" i="2"/>
  <c r="B81" i="2"/>
  <c r="C81" i="2"/>
  <c r="D81" i="2"/>
  <c r="B82" i="2"/>
  <c r="C82" i="2"/>
  <c r="D82" i="2"/>
  <c r="E82" i="2"/>
  <c r="B83" i="2"/>
  <c r="C83" i="2"/>
  <c r="D83" i="2"/>
  <c r="E83" i="2"/>
  <c r="C84" i="2"/>
  <c r="B85" i="2"/>
  <c r="C85" i="2"/>
  <c r="D85" i="2"/>
  <c r="E85" i="2"/>
  <c r="B86" i="2"/>
  <c r="C86" i="2"/>
  <c r="D86" i="2"/>
  <c r="E86" i="2"/>
  <c r="B87" i="2"/>
  <c r="B90" i="2"/>
  <c r="C90" i="2"/>
  <c r="D90" i="2"/>
  <c r="E90" i="2"/>
  <c r="B91" i="2"/>
  <c r="C91" i="2"/>
  <c r="D91" i="2"/>
  <c r="E91" i="2"/>
  <c r="B92" i="2"/>
  <c r="C92" i="2"/>
  <c r="D92" i="2"/>
  <c r="E92" i="2"/>
  <c r="B96" i="2"/>
  <c r="C96" i="2"/>
  <c r="D96" i="2"/>
  <c r="E96" i="2"/>
  <c r="B97" i="2"/>
  <c r="C97" i="2"/>
  <c r="D97" i="2"/>
  <c r="E97" i="2"/>
  <c r="B98" i="2"/>
  <c r="C98" i="2"/>
  <c r="B99" i="2"/>
  <c r="C99" i="2"/>
  <c r="D99" i="2"/>
  <c r="E99" i="2"/>
  <c r="B100" i="2"/>
  <c r="C100" i="2"/>
  <c r="D100" i="2"/>
  <c r="E100" i="2"/>
  <c r="B101" i="2"/>
  <c r="C101" i="2"/>
  <c r="D101" i="2"/>
  <c r="E101" i="2"/>
  <c r="B102" i="2"/>
  <c r="C102" i="2"/>
  <c r="D102" i="2"/>
  <c r="E102" i="2"/>
  <c r="B103" i="2"/>
  <c r="C103" i="2"/>
  <c r="D103" i="2"/>
  <c r="E103" i="2"/>
  <c r="B104" i="2"/>
  <c r="C104" i="2"/>
  <c r="D104" i="2"/>
  <c r="E104" i="2"/>
  <c r="B105" i="2"/>
  <c r="C105" i="2"/>
  <c r="D105" i="2"/>
  <c r="E105" i="2"/>
  <c r="B106" i="2"/>
  <c r="C106" i="2"/>
  <c r="D106" i="2"/>
  <c r="E106" i="2"/>
  <c r="B107" i="2"/>
  <c r="C107" i="2"/>
  <c r="D107" i="2"/>
  <c r="E107" i="2"/>
  <c r="B108" i="2"/>
  <c r="C108" i="2"/>
  <c r="D108" i="2"/>
  <c r="E108" i="2"/>
  <c r="B109" i="2"/>
  <c r="C109" i="2"/>
  <c r="D109" i="2"/>
  <c r="E109" i="2"/>
  <c r="B110" i="2"/>
  <c r="C110" i="2"/>
  <c r="D110" i="2"/>
  <c r="E110" i="2"/>
  <c r="B111" i="2"/>
  <c r="C111" i="2"/>
  <c r="D111" i="2"/>
  <c r="E111" i="2"/>
  <c r="B112" i="2"/>
  <c r="C112" i="2"/>
  <c r="D112" i="2"/>
  <c r="E112" i="2"/>
  <c r="B113" i="2"/>
  <c r="C113" i="2"/>
  <c r="D113" i="2"/>
  <c r="E113" i="2"/>
  <c r="B114" i="2"/>
  <c r="C114" i="2"/>
  <c r="D114" i="2"/>
  <c r="E114" i="2"/>
  <c r="D115" i="2"/>
  <c r="E115" i="2"/>
  <c r="B116" i="2"/>
  <c r="C116" i="2"/>
  <c r="D116" i="2"/>
  <c r="E116" i="2"/>
  <c r="B117" i="2"/>
  <c r="C117" i="2"/>
  <c r="D117" i="2"/>
  <c r="E117" i="2"/>
  <c r="B118" i="2"/>
  <c r="C118" i="2"/>
  <c r="D118" i="2"/>
  <c r="E118" i="2"/>
  <c r="B119" i="2"/>
  <c r="C119" i="2"/>
  <c r="D119" i="2"/>
  <c r="E119" i="2"/>
  <c r="B120" i="2"/>
  <c r="C120" i="2"/>
  <c r="D120" i="2"/>
  <c r="E120" i="2"/>
  <c r="B121" i="2"/>
  <c r="C121" i="2"/>
  <c r="D121" i="2"/>
  <c r="E121" i="2"/>
  <c r="B122" i="2"/>
  <c r="C122" i="2"/>
  <c r="D122" i="2"/>
  <c r="E122" i="2"/>
  <c r="B124" i="2"/>
  <c r="B125" i="2"/>
  <c r="C125" i="2"/>
  <c r="D125" i="2"/>
  <c r="E125" i="2"/>
  <c r="B126" i="2"/>
  <c r="C126" i="2"/>
  <c r="D126" i="2"/>
  <c r="E126" i="2"/>
  <c r="B127" i="2"/>
  <c r="C127" i="2"/>
  <c r="D127" i="2"/>
  <c r="E127" i="2"/>
  <c r="B128" i="2"/>
  <c r="C128" i="2"/>
  <c r="D128" i="2"/>
  <c r="E128" i="2"/>
  <c r="B129" i="2"/>
  <c r="C129" i="2"/>
  <c r="D129" i="2"/>
  <c r="E129" i="2"/>
  <c r="B130" i="2"/>
  <c r="C130" i="2"/>
  <c r="D130" i="2"/>
  <c r="E130" i="2"/>
  <c r="B131" i="2"/>
  <c r="C131" i="2"/>
  <c r="D131" i="2"/>
  <c r="E131" i="2"/>
  <c r="B132" i="2"/>
  <c r="C132" i="2"/>
  <c r="D132" i="2"/>
  <c r="E132" i="2"/>
  <c r="B133" i="2"/>
  <c r="B134" i="2"/>
  <c r="C134" i="2"/>
  <c r="D134" i="2"/>
  <c r="E134" i="2"/>
  <c r="B135" i="2"/>
  <c r="C135" i="2"/>
  <c r="D135" i="2"/>
  <c r="E135" i="2"/>
  <c r="B136" i="2"/>
  <c r="C136" i="2"/>
  <c r="D136" i="2"/>
  <c r="E136" i="2"/>
  <c r="B137" i="2"/>
  <c r="C137" i="2"/>
  <c r="D137" i="2"/>
  <c r="E137" i="2"/>
  <c r="E138" i="2"/>
  <c r="B139" i="2"/>
  <c r="C139" i="2"/>
  <c r="D139" i="2"/>
  <c r="E139" i="2"/>
  <c r="B140" i="2"/>
  <c r="C140" i="2"/>
  <c r="D140" i="2"/>
  <c r="E140" i="2"/>
  <c r="B141" i="2"/>
  <c r="C141" i="2"/>
  <c r="D141" i="2"/>
  <c r="E141" i="2"/>
  <c r="B142" i="2"/>
  <c r="C142" i="2"/>
  <c r="D142" i="2"/>
  <c r="B143" i="2"/>
  <c r="C143" i="2"/>
  <c r="D143" i="2"/>
  <c r="E143" i="2"/>
  <c r="B144" i="2"/>
  <c r="C144" i="2"/>
  <c r="D144" i="2"/>
  <c r="E144" i="2"/>
  <c r="D145" i="2"/>
  <c r="C146" i="2"/>
  <c r="B147" i="2"/>
  <c r="C147" i="2"/>
  <c r="D147" i="2"/>
  <c r="E147" i="2"/>
  <c r="E153" i="2" s="1"/>
  <c r="C148" i="2"/>
  <c r="B149" i="2"/>
  <c r="E149" i="2"/>
  <c r="B150" i="2"/>
  <c r="B151" i="2"/>
  <c r="C151" i="2"/>
  <c r="C152" i="2"/>
  <c r="D152" i="2"/>
  <c r="E152" i="2"/>
  <c r="D154" i="2"/>
  <c r="E155" i="2"/>
  <c r="C156" i="2"/>
  <c r="D156" i="2"/>
  <c r="B157" i="2"/>
  <c r="C157" i="2"/>
  <c r="D157" i="2"/>
  <c r="B158" i="2"/>
  <c r="C158" i="2"/>
  <c r="D158" i="2"/>
  <c r="E158" i="2"/>
  <c r="D160" i="2"/>
  <c r="E160" i="2"/>
  <c r="C161" i="2"/>
  <c r="E161" i="2"/>
  <c r="B162" i="2"/>
  <c r="C162" i="2"/>
  <c r="D162" i="2"/>
  <c r="E162" i="2"/>
  <c r="B163" i="2"/>
  <c r="C163" i="2"/>
  <c r="D163" i="2"/>
  <c r="E163" i="2"/>
  <c r="B164" i="2"/>
  <c r="C164" i="2"/>
  <c r="D164" i="2"/>
  <c r="E164" i="2"/>
  <c r="D165" i="2"/>
  <c r="E165" i="2"/>
  <c r="B166" i="2"/>
  <c r="C166" i="2"/>
  <c r="D166" i="2"/>
  <c r="E166" i="2"/>
  <c r="B167" i="2"/>
  <c r="C167" i="2"/>
  <c r="D167" i="2"/>
  <c r="E167" i="2"/>
  <c r="D168" i="2"/>
  <c r="C169" i="2"/>
  <c r="D169" i="2"/>
  <c r="E169" i="2"/>
  <c r="B170" i="2"/>
  <c r="C170" i="2"/>
  <c r="D170" i="2"/>
  <c r="E170" i="2"/>
  <c r="B171" i="2"/>
  <c r="C171" i="2"/>
  <c r="D171" i="2"/>
  <c r="E171" i="2"/>
  <c r="B172" i="2"/>
  <c r="C172" i="2"/>
  <c r="D172" i="2"/>
  <c r="E172" i="2"/>
  <c r="B173" i="2"/>
  <c r="C173" i="2"/>
  <c r="D173" i="2"/>
  <c r="E173" i="2"/>
  <c r="E175" i="2"/>
  <c r="D176" i="2"/>
  <c r="E176" i="2"/>
  <c r="E178" i="2" s="1"/>
  <c r="D177" i="2"/>
  <c r="B178" i="2"/>
  <c r="C178" i="2"/>
  <c r="G180" i="2"/>
  <c r="D179" i="2"/>
  <c r="E179" i="2"/>
  <c r="B180" i="2"/>
  <c r="B181" i="2"/>
  <c r="C181" i="2"/>
  <c r="D181" i="2"/>
  <c r="E181" i="2"/>
  <c r="B182" i="2"/>
  <c r="C182" i="2"/>
  <c r="D182" i="2"/>
  <c r="E182" i="2"/>
  <c r="B183" i="2"/>
  <c r="C183" i="2"/>
  <c r="D183" i="2"/>
  <c r="E183" i="2"/>
  <c r="B184" i="2"/>
  <c r="C184" i="2"/>
  <c r="D184" i="2"/>
  <c r="E184" i="2"/>
  <c r="B186" i="2"/>
  <c r="C186" i="2"/>
  <c r="D186" i="2"/>
  <c r="E186" i="2"/>
  <c r="B187" i="2"/>
  <c r="B189" i="2" s="1"/>
  <c r="C188" i="2"/>
  <c r="D189" i="2"/>
  <c r="E189" i="2"/>
  <c r="B190" i="2"/>
  <c r="B193" i="2"/>
  <c r="C193" i="2"/>
  <c r="D193" i="2"/>
  <c r="E193" i="2"/>
  <c r="E194" i="2"/>
  <c r="E195" i="2"/>
  <c r="B196" i="2"/>
  <c r="C196" i="2"/>
  <c r="D196" i="2"/>
  <c r="E196" i="2"/>
  <c r="B198" i="2"/>
  <c r="C198" i="2"/>
  <c r="D198" i="2"/>
  <c r="E198" i="2"/>
  <c r="B200" i="2"/>
  <c r="C200" i="2"/>
  <c r="D200" i="2"/>
  <c r="E200" i="2"/>
  <c r="B201" i="2"/>
  <c r="C201" i="2"/>
  <c r="D201" i="2"/>
  <c r="E201" i="2"/>
  <c r="B202" i="2"/>
  <c r="C202" i="2"/>
  <c r="D202" i="2"/>
  <c r="E202" i="2"/>
  <c r="B203" i="2"/>
  <c r="C203" i="2"/>
  <c r="D203" i="2"/>
  <c r="E203" i="2"/>
  <c r="B204" i="2"/>
  <c r="C204" i="2"/>
  <c r="D204" i="2"/>
  <c r="E204" i="2"/>
  <c r="C205" i="2"/>
  <c r="D205" i="2"/>
  <c r="C206" i="2"/>
  <c r="F67" i="3" l="1"/>
  <c r="F68" i="3" s="1"/>
  <c r="F74" i="3" s="1"/>
  <c r="E207" i="2"/>
  <c r="C153" i="2"/>
  <c r="D77" i="2"/>
  <c r="C58" i="2"/>
  <c r="E93" i="2"/>
  <c r="E68" i="2"/>
  <c r="D178" i="2"/>
  <c r="D93" i="2"/>
  <c r="D80" i="2"/>
  <c r="D153" i="2"/>
  <c r="E22" i="2"/>
  <c r="E88" i="2" s="1"/>
  <c r="E94" i="2" s="1"/>
  <c r="E208" i="2" s="1"/>
  <c r="E209" i="2" s="1"/>
  <c r="F88" i="2"/>
  <c r="E34" i="3"/>
  <c r="B35" i="3"/>
  <c r="B48" i="3" s="1"/>
  <c r="C24" i="3"/>
  <c r="D21" i="3"/>
  <c r="E21" i="3" s="1"/>
  <c r="E24" i="3" s="1"/>
  <c r="E35" i="3" s="1"/>
  <c r="E41" i="3"/>
  <c r="C41" i="3"/>
  <c r="E29" i="3"/>
  <c r="D63" i="3"/>
  <c r="D64" i="3" s="1"/>
  <c r="D68" i="3" s="1"/>
  <c r="D74" i="3" s="1"/>
  <c r="C64" i="3"/>
  <c r="C68" i="3" s="1"/>
  <c r="C74" i="3" s="1"/>
  <c r="D29" i="3"/>
  <c r="B64" i="3"/>
  <c r="B68" i="3" s="1"/>
  <c r="B74" i="3" s="1"/>
  <c r="E43" i="3"/>
  <c r="D47" i="3"/>
  <c r="D41" i="3"/>
  <c r="C47" i="3"/>
  <c r="C29" i="3"/>
  <c r="D73" i="3"/>
  <c r="D207" i="2"/>
  <c r="C207" i="2"/>
  <c r="C189" i="2"/>
  <c r="B77" i="2"/>
  <c r="C93" i="2"/>
  <c r="B80" i="2"/>
  <c r="B93" i="2"/>
  <c r="B153" i="2"/>
  <c r="C68" i="2"/>
  <c r="C88" i="2" s="1"/>
  <c r="C94" i="2" s="1"/>
  <c r="D68" i="2"/>
  <c r="B68" i="2"/>
  <c r="B58" i="2"/>
  <c r="B22" i="2"/>
  <c r="B207" i="2" l="1"/>
  <c r="D88" i="2"/>
  <c r="D94" i="2" s="1"/>
  <c r="D208" i="2" s="1"/>
  <c r="D209" i="2" s="1"/>
  <c r="C208" i="2"/>
  <c r="C209" i="2" s="1"/>
  <c r="F94" i="2"/>
  <c r="D24" i="3"/>
  <c r="D35" i="3" s="1"/>
  <c r="D48" i="3" s="1"/>
  <c r="C35" i="3"/>
  <c r="C48" i="3" s="1"/>
  <c r="E47" i="3"/>
  <c r="E48" i="3" s="1"/>
  <c r="B88" i="2"/>
  <c r="B94" i="2" l="1"/>
  <c r="B208" i="2" l="1"/>
  <c r="B209" i="2" l="1"/>
  <c r="F207" i="2" l="1"/>
  <c r="G207" i="2" s="1"/>
  <c r="F208" i="2" l="1"/>
  <c r="G208" i="2" l="1"/>
  <c r="F209" i="2"/>
  <c r="G209" i="2" l="1"/>
</calcChain>
</file>

<file path=xl/sharedStrings.xml><?xml version="1.0" encoding="utf-8"?>
<sst xmlns="http://schemas.openxmlformats.org/spreadsheetml/2006/main" count="325" uniqueCount="302">
  <si>
    <t>Account #</t>
  </si>
  <si>
    <t>Account</t>
  </si>
  <si>
    <t>Type</t>
  </si>
  <si>
    <t>Detail type</t>
  </si>
  <si>
    <t>Description</t>
  </si>
  <si>
    <t>Balance</t>
  </si>
  <si>
    <t>FNB - Checking     #5258</t>
  </si>
  <si>
    <t>Bank</t>
  </si>
  <si>
    <t>Checking</t>
  </si>
  <si>
    <t>FNB- Cap. Camp. #7427</t>
  </si>
  <si>
    <t>Standard Bank # 8408</t>
  </si>
  <si>
    <t>Cash on hand</t>
  </si>
  <si>
    <t>FNB-Money Mkt #6783</t>
  </si>
  <si>
    <t>TriState Cap.-Money Market  #0607</t>
  </si>
  <si>
    <t>S &amp; T Bank Money Market #8622</t>
  </si>
  <si>
    <t>FNB 9679 - HSA</t>
  </si>
  <si>
    <t>HEARTH</t>
  </si>
  <si>
    <t>Account List</t>
  </si>
  <si>
    <t>Net Revenue</t>
  </si>
  <si>
    <t>Net Operating Revenue</t>
  </si>
  <si>
    <t>Total Expenditures</t>
  </si>
  <si>
    <t xml:space="preserve">   9015 In-Kind Services/Items</t>
  </si>
  <si>
    <t xml:space="preserve">   7591 Personnel Other</t>
  </si>
  <si>
    <t xml:space="preserve">   7590 Workers' Comp Insurance</t>
  </si>
  <si>
    <t xml:space="preserve">   7585 PA SUI-Employer</t>
  </si>
  <si>
    <t xml:space="preserve">   7582 Other Tax Expense</t>
  </si>
  <si>
    <t xml:space="preserve">   7580 Medicare-Employer</t>
  </si>
  <si>
    <t xml:space="preserve">   7575 FICA Employer</t>
  </si>
  <si>
    <t xml:space="preserve">   7572 Paid Time Off</t>
  </si>
  <si>
    <t xml:space="preserve">   7570 Salaries</t>
  </si>
  <si>
    <t xml:space="preserve">   7560 Temps/Interns/Overtime</t>
  </si>
  <si>
    <t xml:space="preserve">   7550 403 B Retirement</t>
  </si>
  <si>
    <t xml:space="preserve">   7542 Life Insurance</t>
  </si>
  <si>
    <t xml:space="preserve">   7541 Vision &amp; Dental Insurance</t>
  </si>
  <si>
    <t xml:space="preserve">   7540 Medical Insurance</t>
  </si>
  <si>
    <t xml:space="preserve">   7530 Fundraising</t>
  </si>
  <si>
    <t xml:space="preserve">   7520 Marketing</t>
  </si>
  <si>
    <t xml:space="preserve">   7397 PP Mental Health Services</t>
  </si>
  <si>
    <t xml:space="preserve">   Total 7396 Transition Support</t>
  </si>
  <si>
    <t xml:space="preserve">      7396-80 Transition-moving restricted</t>
  </si>
  <si>
    <t xml:space="preserve">   7396 Transition Support</t>
  </si>
  <si>
    <t xml:space="preserve">   7395 Telephone-Conference Calling</t>
  </si>
  <si>
    <t xml:space="preserve">   7394 Telephone - Programming</t>
  </si>
  <si>
    <t xml:space="preserve">   7394 Telephone</t>
  </si>
  <si>
    <t xml:space="preserve">   7391 Tech Support-Program</t>
  </si>
  <si>
    <t xml:space="preserve">   7388 Storage/Shredding</t>
  </si>
  <si>
    <t xml:space="preserve">   7385 Staff Auto Allow.-mileage/park</t>
  </si>
  <si>
    <t xml:space="preserve">   7376-69 Restricted Van (deleted)</t>
  </si>
  <si>
    <t xml:space="preserve">   7376-53 Expressions In Harmony Covid (deleted)</t>
  </si>
  <si>
    <t xml:space="preserve">   Total 7376 Program Supplies</t>
  </si>
  <si>
    <t xml:space="preserve">      7376-60 Program Supplies - Snee Restric</t>
  </si>
  <si>
    <t xml:space="preserve">      7376-55 Program Supplies - Scholarship</t>
  </si>
  <si>
    <t xml:space="preserve">      7376-10 Program Supplies - AIU Restrict</t>
  </si>
  <si>
    <t xml:space="preserve">   7376 Program Supplies</t>
  </si>
  <si>
    <t xml:space="preserve">   7373 Program Outcome</t>
  </si>
  <si>
    <t xml:space="preserve">   7369 Professional Liability Ins.</t>
  </si>
  <si>
    <t xml:space="preserve">   7366 Printing/Copying-Program</t>
  </si>
  <si>
    <t xml:space="preserve">   7363 Postage-Program</t>
  </si>
  <si>
    <t xml:space="preserve">   7360 Playground Maintenance</t>
  </si>
  <si>
    <t xml:space="preserve">   7350 Life Skills</t>
  </si>
  <si>
    <t xml:space="preserve">   7345 Internet-Program</t>
  </si>
  <si>
    <t xml:space="preserve">   7341 Image Marketing</t>
  </si>
  <si>
    <t xml:space="preserve">   7338 HEARTH at BW exps</t>
  </si>
  <si>
    <t xml:space="preserve">   7336 Food &amp; Perishables-PP</t>
  </si>
  <si>
    <t xml:space="preserve">   7333 Food &amp; Beverage Exp</t>
  </si>
  <si>
    <t xml:space="preserve">   7330 Equipment-Prog staff</t>
  </si>
  <si>
    <t xml:space="preserve">   7327 Equip Maintenance-Prog staff</t>
  </si>
  <si>
    <t xml:space="preserve">   7326 Covid - 19 Expenses</t>
  </si>
  <si>
    <t xml:space="preserve">   7324 Client Education Fees/Tuition</t>
  </si>
  <si>
    <t xml:space="preserve">   7323 Drug Testing</t>
  </si>
  <si>
    <t xml:space="preserve">   7319 Child Care</t>
  </si>
  <si>
    <t xml:space="preserve">   7318-69 Van Restricted</t>
  </si>
  <si>
    <t xml:space="preserve">   7318-53 Expressions in Harmony Grant</t>
  </si>
  <si>
    <t xml:space="preserve">   7318-38 HCEF Mini Grant</t>
  </si>
  <si>
    <t xml:space="preserve">   Total 7318 Client Expenses - RESTRICTED</t>
  </si>
  <si>
    <t xml:space="preserve">      7318-85 Expressions in Harmony Grant</t>
  </si>
  <si>
    <t xml:space="preserve">      7318-77 AJ &amp; Sigismunda Palumbo Chartib (deleted)</t>
  </si>
  <si>
    <t xml:space="preserve">      7318-65 Life Skills Training (deleted)</t>
  </si>
  <si>
    <t xml:space="preserve">      7318-60 Snee-Reihardt</t>
  </si>
  <si>
    <t xml:space="preserve">      7318-55 Scholarship-Zonta</t>
  </si>
  <si>
    <t xml:space="preserve">      7318-48 Closet &amp; Clothing Pantry</t>
  </si>
  <si>
    <t xml:space="preserve">      7318-10 AIU (deleted)</t>
  </si>
  <si>
    <t xml:space="preserve">   7318 Client Expenses - RESTRICTED</t>
  </si>
  <si>
    <t xml:space="preserve">   7315 Client Expense</t>
  </si>
  <si>
    <t xml:space="preserve">   7309 Clearances Act 33 &amp; 34</t>
  </si>
  <si>
    <t xml:space="preserve">   7308 Cell Phone-PRIDE coordinator</t>
  </si>
  <si>
    <t xml:space="preserve">   7306 Auto Lease/Insurance/Gas</t>
  </si>
  <si>
    <t xml:space="preserve">   7303 Apt Equip &amp; Supplies</t>
  </si>
  <si>
    <t xml:space="preserve">   7295 Security</t>
  </si>
  <si>
    <t xml:space="preserve">   7290 Equipment</t>
  </si>
  <si>
    <t xml:space="preserve">   7280 Water</t>
  </si>
  <si>
    <t xml:space="preserve">   7275 Trash Removal</t>
  </si>
  <si>
    <t xml:space="preserve">   7270 Sewage</t>
  </si>
  <si>
    <t xml:space="preserve">   7265 Rent-Benedictine Place</t>
  </si>
  <si>
    <t xml:space="preserve">   7260 PRIDE-Rent &amp; Utilities Exp</t>
  </si>
  <si>
    <t xml:space="preserve">   7255 Natural Gas</t>
  </si>
  <si>
    <t xml:space="preserve">   7250 Maintenance Supplies</t>
  </si>
  <si>
    <t xml:space="preserve">   7247 Snow Removal</t>
  </si>
  <si>
    <t xml:space="preserve">   7246 Up Keep - Grounds</t>
  </si>
  <si>
    <t xml:space="preserve">   7245 Maintenance Labor</t>
  </si>
  <si>
    <t xml:space="preserve">   7235 Exterminating</t>
  </si>
  <si>
    <t xml:space="preserve">   7230 Electricity</t>
  </si>
  <si>
    <t xml:space="preserve">   7225 Cleaning Supplies</t>
  </si>
  <si>
    <t xml:space="preserve">   7220 Janitorial Services</t>
  </si>
  <si>
    <t xml:space="preserve">   7217 Building Reserve</t>
  </si>
  <si>
    <t xml:space="preserve">   7215 Building Insurance</t>
  </si>
  <si>
    <t xml:space="preserve">   7212 Real Estate Tax</t>
  </si>
  <si>
    <t xml:space="preserve">   7210 Apartment Cleaning Services</t>
  </si>
  <si>
    <t xml:space="preserve">   7190 Staff Conference/Seminar</t>
  </si>
  <si>
    <t xml:space="preserve">   7170 Payroll Service</t>
  </si>
  <si>
    <t xml:space="preserve">   7160 Misc. Expense</t>
  </si>
  <si>
    <t xml:space="preserve">   7140 Charitable Registration</t>
  </si>
  <si>
    <t xml:space="preserve">   7120 Legal</t>
  </si>
  <si>
    <t xml:space="preserve">   7110 Audit</t>
  </si>
  <si>
    <t xml:space="preserve">   7095 Website</t>
  </si>
  <si>
    <t xml:space="preserve">   7090 Technical Support</t>
  </si>
  <si>
    <t xml:space="preserve">   7085 Staff Recruitment</t>
  </si>
  <si>
    <t xml:space="preserve">   7080 Staff Recoginition</t>
  </si>
  <si>
    <t xml:space="preserve">   7075 Software Maintenance/Support</t>
  </si>
  <si>
    <t xml:space="preserve">   7065 Printing/Copying</t>
  </si>
  <si>
    <t xml:space="preserve">   7060 Postage/Delivery</t>
  </si>
  <si>
    <t xml:space="preserve">   7055 Telephone Expense</t>
  </si>
  <si>
    <t xml:space="preserve">   7050 Office Supplies</t>
  </si>
  <si>
    <t xml:space="preserve">   7045 Office Equipment</t>
  </si>
  <si>
    <t xml:space="preserve">   7040 Bank Service Chgrs</t>
  </si>
  <si>
    <t xml:space="preserve">   7035 Internet</t>
  </si>
  <si>
    <t xml:space="preserve">   7030 Equipment Maint/Repair</t>
  </si>
  <si>
    <t xml:space="preserve">   7025 Memberships/Educ. Material</t>
  </si>
  <si>
    <t xml:space="preserve">   7020 Donor/Volunteer Relations</t>
  </si>
  <si>
    <t xml:space="preserve">   7017 Depreciation Expense</t>
  </si>
  <si>
    <t xml:space="preserve">   7015 D&amp;O Insurance</t>
  </si>
  <si>
    <t xml:space="preserve">   7010 Board Development</t>
  </si>
  <si>
    <t>Expenditures</t>
  </si>
  <si>
    <t>Gross Profit</t>
  </si>
  <si>
    <t>Total Cost of Goods Sold</t>
  </si>
  <si>
    <t xml:space="preserve">   4920 COS-Hops for HEARTH</t>
  </si>
  <si>
    <t xml:space="preserve">   4895 COS-Purses for Purpose</t>
  </si>
  <si>
    <t xml:space="preserve">   4690 COS-Wine &amp; Food</t>
  </si>
  <si>
    <t>Cost of Goods Sold</t>
  </si>
  <si>
    <t>Total Revenue</t>
  </si>
  <si>
    <t xml:space="preserve">   Uncategorized Revenue</t>
  </si>
  <si>
    <t xml:space="preserve">   Square Income (deleted)</t>
  </si>
  <si>
    <t xml:space="preserve">   Sales</t>
  </si>
  <si>
    <t xml:space="preserve">   9010 In-Kind Donated Services/items</t>
  </si>
  <si>
    <t xml:space="preserve">   4960 Hilewitz Fundraiser (deleted-1)</t>
  </si>
  <si>
    <t xml:space="preserve">   4950 Program Fees</t>
  </si>
  <si>
    <t xml:space="preserve">   4940 Assoc Board Fundraiser</t>
  </si>
  <si>
    <t xml:space="preserve">   Total 4900 Hops For HEARTH-parent acct</t>
  </si>
  <si>
    <t xml:space="preserve">      4910 Hops for HEARTH-sponsor</t>
  </si>
  <si>
    <t xml:space="preserve">   4900 Hops For HEARTH-parent acct</t>
  </si>
  <si>
    <t xml:space="preserve">   Total 4800 Purses for Purpose</t>
  </si>
  <si>
    <t xml:space="preserve">      4830 Purses-Silent Auction (deleted)</t>
  </si>
  <si>
    <t xml:space="preserve">      4827 Purse - Fill the Purse Competition (deleted)</t>
  </si>
  <si>
    <t xml:space="preserve">      4825 Clutch Raffle (deleted)</t>
  </si>
  <si>
    <t xml:space="preserve">      4820 Purse Raffle (deleted)</t>
  </si>
  <si>
    <t xml:space="preserve">      4815 Purses Sponsor</t>
  </si>
  <si>
    <t xml:space="preserve">      4810 Purses for Purpose-Tickets</t>
  </si>
  <si>
    <t xml:space="preserve">      4805 Purses Donation</t>
  </si>
  <si>
    <t xml:space="preserve">   4800 Purses for Purpose</t>
  </si>
  <si>
    <t xml:space="preserve">   Total 4700 Golf-Parent acct</t>
  </si>
  <si>
    <t xml:space="preserve">      4790 Golf Expenses</t>
  </si>
  <si>
    <t xml:space="preserve">      4765 Golf Program Ad (deleted)</t>
  </si>
  <si>
    <t xml:space="preserve">      4755 Golf Foursomes (deleted)</t>
  </si>
  <si>
    <t xml:space="preserve">      4750 Golf Donations</t>
  </si>
  <si>
    <t xml:space="preserve">      4745 Golf Sponsors</t>
  </si>
  <si>
    <t xml:space="preserve">      4740 Golf-50/50 Raffle (deleted)</t>
  </si>
  <si>
    <t xml:space="preserve">      4735 Golf Silent Auction (deleted)</t>
  </si>
  <si>
    <t xml:space="preserve">      4730 Golf Lunch Sales (deleted)</t>
  </si>
  <si>
    <t xml:space="preserve">   4700 Golf-Parent acct</t>
  </si>
  <si>
    <t xml:space="preserve">   Total 4600 Wine &amp; Food</t>
  </si>
  <si>
    <t xml:space="preserve">      4695 W&amp;F-COS-paypal fees (deleted)</t>
  </si>
  <si>
    <t xml:space="preserve">      4630 Wine &amp; Food Silent Auction (deleted)</t>
  </si>
  <si>
    <t xml:space="preserve">      4625 Sponsorship Expense (deleted)</t>
  </si>
  <si>
    <t xml:space="preserve">      4620 Wine &amp; Food Sponsors</t>
  </si>
  <si>
    <t xml:space="preserve">      4617 Wine &amp; Food - Wine Spin (deleted)</t>
  </si>
  <si>
    <t xml:space="preserve">      4615 Wine &amp; Food Donations</t>
  </si>
  <si>
    <t xml:space="preserve">      4610 Wine &amp; Food Tickets</t>
  </si>
  <si>
    <t xml:space="preserve">   4600 Wine &amp; Food</t>
  </si>
  <si>
    <t xml:space="preserve">   4550 Highmark Walk</t>
  </si>
  <si>
    <t xml:space="preserve">   4540 Wine Bags (deleted)</t>
  </si>
  <si>
    <t xml:space="preserve">   4530 Entertainment Books (deleted)</t>
  </si>
  <si>
    <t xml:space="preserve">   4510 Wine Bag Sales (deleted)</t>
  </si>
  <si>
    <t xml:space="preserve">   4501 25th Anniversary Fundraiser</t>
  </si>
  <si>
    <t xml:space="preserve">   4500 Boiler Building Rent</t>
  </si>
  <si>
    <t xml:space="preserve">   4500 Boiler Bldg Rent</t>
  </si>
  <si>
    <t xml:space="preserve">   4460 3rd Party Events</t>
  </si>
  <si>
    <t xml:space="preserve">   4450 25th Anniversary Event</t>
  </si>
  <si>
    <t xml:space="preserve">   4440 Int. Inc #1025 (deleted)</t>
  </si>
  <si>
    <t xml:space="preserve">   4330 Bank Interest - Various Accts</t>
  </si>
  <si>
    <t xml:space="preserve">   4310 Laundry money</t>
  </si>
  <si>
    <t xml:space="preserve">   4305 Management Fee</t>
  </si>
  <si>
    <t xml:space="preserve">   4300 Misc. Income</t>
  </si>
  <si>
    <t xml:space="preserve">   4220 Late &amp; Other Fees</t>
  </si>
  <si>
    <t xml:space="preserve">   4165 Supportive Services from BWHC</t>
  </si>
  <si>
    <t xml:space="preserve">   4155 PRIDE Program Fees</t>
  </si>
  <si>
    <t xml:space="preserve">   4150 PRIDE-Reimbursed Rent</t>
  </si>
  <si>
    <t xml:space="preserve">   4140 State Grants</t>
  </si>
  <si>
    <t xml:space="preserve">   4130 Continuum of Care Grant</t>
  </si>
  <si>
    <t xml:space="preserve">   4120 HUD Reimbursements</t>
  </si>
  <si>
    <t xml:space="preserve">   4100 Grants</t>
  </si>
  <si>
    <t xml:space="preserve">   4070 United Way - Donations</t>
  </si>
  <si>
    <t xml:space="preserve">   4050 Religious Organizations - Donations</t>
  </si>
  <si>
    <t xml:space="preserve">   4030 Organizations - Donations</t>
  </si>
  <si>
    <t xml:space="preserve">   4025 Kennywood</t>
  </si>
  <si>
    <t xml:space="preserve">   4021-69</t>
  </si>
  <si>
    <t xml:space="preserve">   Total 4021 Foundations - Rest. Funds</t>
  </si>
  <si>
    <t xml:space="preserve">      4021-80 Foundation-Moving/Transitional</t>
  </si>
  <si>
    <t xml:space="preserve">      4021-65 PNC Charitable Trust</t>
  </si>
  <si>
    <t xml:space="preserve">      4021-60 Snee Reihardt Medical</t>
  </si>
  <si>
    <t xml:space="preserve">      4021-53 Expressions In Harmony</t>
  </si>
  <si>
    <t xml:space="preserve">      4021-51 Pgh Fdn-thermostat-restricted</t>
  </si>
  <si>
    <t xml:space="preserve">      4021-22 Grable Foundation - Security (deleted)</t>
  </si>
  <si>
    <t xml:space="preserve">      4021-11 AIU-Summer Science Field Trip</t>
  </si>
  <si>
    <t xml:space="preserve">   4021 Foundations - Rest. Funds</t>
  </si>
  <si>
    <t xml:space="preserve">   4020 Foundation Donations</t>
  </si>
  <si>
    <t xml:space="preserve">   4010 Business Donation</t>
  </si>
  <si>
    <t xml:space="preserve">   4009 Spring Appeal</t>
  </si>
  <si>
    <t xml:space="preserve">   4007 Capital Campaign-restricted</t>
  </si>
  <si>
    <t xml:space="preserve">   4006 Summer Appeal (deleted)</t>
  </si>
  <si>
    <t xml:space="preserve">   4005 Annual Appeal</t>
  </si>
  <si>
    <t xml:space="preserve">   4001 Individual</t>
  </si>
  <si>
    <t>Revenue</t>
  </si>
  <si>
    <t>Total</t>
  </si>
  <si>
    <t>Jul 2021 - Jun 2022</t>
  </si>
  <si>
    <t>Jul 2020 - Jun 2021</t>
  </si>
  <si>
    <t>Jul 2019 - Jun 2020</t>
  </si>
  <si>
    <t>Jul 2018 - Jun 2019</t>
  </si>
  <si>
    <t>Jul 2017 - Jun 2018</t>
  </si>
  <si>
    <t>July 2017 - June 2022</t>
  </si>
  <si>
    <t>Statement of Activity</t>
  </si>
  <si>
    <t>TOTAL LIABILITIES AND EQUITY</t>
  </si>
  <si>
    <t xml:space="preserve">   Total Equity</t>
  </si>
  <si>
    <t xml:space="preserve">      Net Revenue</t>
  </si>
  <si>
    <t xml:space="preserve">      32000 Unrestricted Net Assets</t>
  </si>
  <si>
    <t xml:space="preserve">      3000 Retained Earnings</t>
  </si>
  <si>
    <t xml:space="preserve">   Equity</t>
  </si>
  <si>
    <t xml:space="preserve">   Total Liabilities</t>
  </si>
  <si>
    <t xml:space="preserve">      Total Long-Term Liabilities</t>
  </si>
  <si>
    <t xml:space="preserve">         2030 PPP SBA LOAN</t>
  </si>
  <si>
    <t xml:space="preserve">      Long-Term Liabilities</t>
  </si>
  <si>
    <t xml:space="preserve">      Total Current Liabilities</t>
  </si>
  <si>
    <t xml:space="preserve">         Total Other Current Liabilities</t>
  </si>
  <si>
    <t xml:space="preserve">            2120 403b Contributions</t>
  </si>
  <si>
    <t xml:space="preserve">            2020 Sales tax payable</t>
  </si>
  <si>
    <t xml:space="preserve">            2017 Deferred Rev.-Purses</t>
  </si>
  <si>
    <t xml:space="preserve">            2015 Deferred revenue W&amp;F</t>
  </si>
  <si>
    <t xml:space="preserve">            2013 Deferred Revenue</t>
  </si>
  <si>
    <t xml:space="preserve">            2010 Payroll Liabilities</t>
  </si>
  <si>
    <t xml:space="preserve">            1340 Security Deposits</t>
  </si>
  <si>
    <t xml:space="preserve">         Other Current Liabilities</t>
  </si>
  <si>
    <t xml:space="preserve">         Total Accounts Payable</t>
  </si>
  <si>
    <t xml:space="preserve">            2000 Accounts Payable</t>
  </si>
  <si>
    <t xml:space="preserve">         Accounts Payable</t>
  </si>
  <si>
    <t xml:space="preserve">      Current Liabilities</t>
  </si>
  <si>
    <t xml:space="preserve">   Liabilities</t>
  </si>
  <si>
    <t>LIABILITIES AND EQUITY</t>
  </si>
  <si>
    <t>TOTAL ASSETS</t>
  </si>
  <si>
    <t xml:space="preserve">   Total Other Assets</t>
  </si>
  <si>
    <t xml:space="preserve">      1950 Noncurrent Accrued Interest Income</t>
  </si>
  <si>
    <t xml:space="preserve">      1900 Noncurrent Note Receivable</t>
  </si>
  <si>
    <t xml:space="preserve">      1800 Investment In Partnership (deleted)</t>
  </si>
  <si>
    <t xml:space="preserve">      1700 Allegheny Investments</t>
  </si>
  <si>
    <t xml:space="preserve">   Other Assets</t>
  </si>
  <si>
    <t xml:space="preserve">   Total Fixed Assets</t>
  </si>
  <si>
    <t xml:space="preserve">      1680 Accumulated Depreciation</t>
  </si>
  <si>
    <t xml:space="preserve">      1620 Furnishings</t>
  </si>
  <si>
    <t xml:space="preserve">      1610 Mt. Royal Property</t>
  </si>
  <si>
    <t xml:space="preserve">      1600 Capital Equipment</t>
  </si>
  <si>
    <t xml:space="preserve">   Fixed Assets</t>
  </si>
  <si>
    <t xml:space="preserve">   Total Current Assets</t>
  </si>
  <si>
    <t xml:space="preserve">      Total Other Current Assets</t>
  </si>
  <si>
    <t xml:space="preserve">         Uncategorized Asset</t>
  </si>
  <si>
    <t xml:space="preserve">         1320 Prepaid Expenses</t>
  </si>
  <si>
    <t xml:space="preserve">         1200 Undeposited Funds</t>
  </si>
  <si>
    <t xml:space="preserve">      Other Current Assets</t>
  </si>
  <si>
    <t xml:space="preserve">      Total Accounts Receivable</t>
  </si>
  <si>
    <t xml:space="preserve">         1410 Accrued Interest Rec. on Note</t>
  </si>
  <si>
    <t xml:space="preserve">         1400 Note Receivable (deleted)</t>
  </si>
  <si>
    <t xml:space="preserve">         1100 Accounts Receivable</t>
  </si>
  <si>
    <t xml:space="preserve">      Accounts Receivable</t>
  </si>
  <si>
    <t xml:space="preserve">      Total Bank Accounts</t>
  </si>
  <si>
    <t xml:space="preserve">         4021-85 Expressions In Harmony (deleted)</t>
  </si>
  <si>
    <t xml:space="preserve">         4021-53 Expressions in Harmony Covid-19 (deleted)</t>
  </si>
  <si>
    <t xml:space="preserve">         1095 Petty Cash (deleted)</t>
  </si>
  <si>
    <t xml:space="preserve">         1060 Huntington-CD1 (deleted)</t>
  </si>
  <si>
    <t xml:space="preserve">         1055 FNB 9679 - HSA</t>
  </si>
  <si>
    <t xml:space="preserve">         1053 Key Bank Money Market (deleted)</t>
  </si>
  <si>
    <t xml:space="preserve">         1052 S &amp; T Bank Money Market #8622</t>
  </si>
  <si>
    <t xml:space="preserve">         1051 PNC MM 3991</t>
  </si>
  <si>
    <t xml:space="preserve">         1041 Omega F.C.U #525 CD</t>
  </si>
  <si>
    <t xml:space="preserve">         1040 TriState Cap.-Money Market  #0607</t>
  </si>
  <si>
    <t xml:space="preserve">         1030 FNB-Money Mkt #6783</t>
  </si>
  <si>
    <t xml:space="preserve">         1025 Standard Bank # 8408</t>
  </si>
  <si>
    <t xml:space="preserve">         1020 Citizens Money Market #235-3</t>
  </si>
  <si>
    <t xml:space="preserve">         1015 FNB- Cap. Camp. #7427</t>
  </si>
  <si>
    <t xml:space="preserve">         1010 FNB - Checking     #5258</t>
  </si>
  <si>
    <t xml:space="preserve">      Bank Accounts</t>
  </si>
  <si>
    <t xml:space="preserve">   Current Assets</t>
  </si>
  <si>
    <t>ASSETS</t>
  </si>
  <si>
    <t>Statement of Financial Position</t>
  </si>
  <si>
    <t>Jul 1, 2021 - Jun 30, 2022</t>
  </si>
  <si>
    <t xml:space="preserve">as of 6/30/2022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</si>
</sst>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#,##0.00\ _€"/>
    <numFmt numFmtId="165" formatCode="&quot;$&quot;* #,##0.00\ _€"/>
  </numFmts>
  <fonts count="8" x14ac:knownFonts="1">
    <font>
      <sz val="11"/>
      <color indexed="8"/>
      <name val="Calibri"/>
      <family val="2"/>
      <scheme val="minor"/>
    </font>
    <font>
      <b/>
      <sz val="9"/>
      <color indexed="8"/>
      <name val="Arial"/>
    </font>
    <font>
      <sz val="8"/>
      <color indexed="8"/>
      <name val="Arial"/>
    </font>
    <font>
      <b/>
      <sz val="14"/>
      <color indexed="8"/>
      <name val="Arial"/>
    </font>
    <font>
      <b/>
      <sz val="10"/>
      <color indexed="8"/>
      <name val="Arial"/>
    </font>
    <font>
      <b/>
      <sz val="8"/>
      <color indexed="8"/>
      <name val="Arial"/>
    </font>
    <font>
      <b/>
      <sz val="9"/>
      <color indexed="8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164" fontId="2" fillId="0" borderId="0" xfId="0" applyNumberFormat="1" applyFont="1" applyAlignment="1">
      <alignment horizontal="right" wrapText="1"/>
    </xf>
    <xf numFmtId="164" fontId="2" fillId="0" borderId="0" xfId="0" applyNumberFormat="1" applyFont="1" applyAlignment="1">
      <alignment wrapText="1"/>
    </xf>
    <xf numFmtId="0" fontId="5" fillId="0" borderId="0" xfId="0" applyFont="1" applyAlignment="1">
      <alignment horizontal="left" wrapText="1"/>
    </xf>
    <xf numFmtId="165" fontId="5" fillId="0" borderId="2" xfId="0" applyNumberFormat="1" applyFont="1" applyBorder="1" applyAlignment="1">
      <alignment horizontal="right" wrapText="1"/>
    </xf>
    <xf numFmtId="0" fontId="0" fillId="0" borderId="0" xfId="0" applyAlignment="1">
      <alignment wrapText="1"/>
    </xf>
    <xf numFmtId="0" fontId="0" fillId="0" borderId="0" xfId="0"/>
    <xf numFmtId="44" fontId="0" fillId="0" borderId="0" xfId="0" applyNumberFormat="1"/>
    <xf numFmtId="0" fontId="6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/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workbookViewId="0">
      <selection activeCell="G13" sqref="G13"/>
    </sheetView>
  </sheetViews>
  <sheetFormatPr defaultRowHeight="15" x14ac:dyDescent="0.25"/>
  <cols>
    <col min="1" max="2" width="7.7109375" customWidth="1"/>
    <col min="3" max="3" width="29.28515625" customWidth="1"/>
    <col min="4" max="4" width="7.7109375" customWidth="1"/>
    <col min="5" max="5" width="11.140625" customWidth="1"/>
    <col min="6" max="6" width="29.28515625" customWidth="1"/>
    <col min="7" max="7" width="15" customWidth="1"/>
  </cols>
  <sheetData>
    <row r="1" spans="1:7" ht="18" x14ac:dyDescent="0.25">
      <c r="A1" s="13" t="s">
        <v>16</v>
      </c>
      <c r="B1" s="12"/>
      <c r="C1" s="12"/>
      <c r="D1" s="12"/>
      <c r="E1" s="12"/>
      <c r="F1" s="12"/>
      <c r="G1" s="12"/>
    </row>
    <row r="2" spans="1:7" ht="18" x14ac:dyDescent="0.25">
      <c r="A2" s="13" t="s">
        <v>17</v>
      </c>
      <c r="B2" s="12"/>
      <c r="C2" s="12"/>
      <c r="D2" s="12"/>
      <c r="E2" s="12"/>
      <c r="F2" s="12"/>
      <c r="G2" s="12"/>
    </row>
    <row r="3" spans="1:7" x14ac:dyDescent="0.25">
      <c r="A3" s="14" t="s">
        <v>301</v>
      </c>
      <c r="B3" s="12"/>
      <c r="C3" s="12"/>
      <c r="D3" s="12"/>
      <c r="E3" s="12"/>
      <c r="F3" s="12"/>
      <c r="G3" s="12"/>
    </row>
    <row r="5" spans="1:7" ht="24.75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</row>
    <row r="6" spans="1:7" x14ac:dyDescent="0.25">
      <c r="B6" s="2">
        <v>1010</v>
      </c>
      <c r="C6" s="2" t="s">
        <v>6</v>
      </c>
      <c r="D6" s="2" t="s">
        <v>7</v>
      </c>
      <c r="E6" s="2" t="s">
        <v>8</v>
      </c>
      <c r="F6" s="2" t="s">
        <v>6</v>
      </c>
      <c r="G6" s="3">
        <v>603404.59</v>
      </c>
    </row>
    <row r="7" spans="1:7" x14ac:dyDescent="0.25">
      <c r="B7" s="2">
        <v>1015</v>
      </c>
      <c r="C7" s="2" t="s">
        <v>9</v>
      </c>
      <c r="D7" s="2" t="s">
        <v>7</v>
      </c>
      <c r="E7" s="2" t="s">
        <v>8</v>
      </c>
      <c r="F7" s="2" t="s">
        <v>9</v>
      </c>
      <c r="G7" s="3">
        <v>268949.02</v>
      </c>
    </row>
    <row r="8" spans="1:7" x14ac:dyDescent="0.25">
      <c r="B8" s="2">
        <v>1025</v>
      </c>
      <c r="C8" s="2" t="s">
        <v>10</v>
      </c>
      <c r="D8" s="2" t="s">
        <v>7</v>
      </c>
      <c r="E8" s="2" t="s">
        <v>11</v>
      </c>
      <c r="F8" s="2" t="s">
        <v>10</v>
      </c>
      <c r="G8" s="3">
        <v>238859.44</v>
      </c>
    </row>
    <row r="9" spans="1:7" x14ac:dyDescent="0.25">
      <c r="B9" s="2">
        <v>1030</v>
      </c>
      <c r="C9" s="2" t="s">
        <v>12</v>
      </c>
      <c r="D9" s="2" t="s">
        <v>7</v>
      </c>
      <c r="E9" s="2" t="s">
        <v>8</v>
      </c>
      <c r="F9" s="2" t="s">
        <v>12</v>
      </c>
      <c r="G9" s="3">
        <v>769396.08</v>
      </c>
    </row>
    <row r="10" spans="1:7" x14ac:dyDescent="0.25">
      <c r="B10" s="2">
        <v>1040</v>
      </c>
      <c r="C10" s="2" t="s">
        <v>13</v>
      </c>
      <c r="D10" s="2" t="s">
        <v>7</v>
      </c>
      <c r="E10" s="2" t="s">
        <v>8</v>
      </c>
      <c r="F10" s="2" t="s">
        <v>13</v>
      </c>
      <c r="G10" s="3">
        <v>268627.65000000002</v>
      </c>
    </row>
    <row r="11" spans="1:7" x14ac:dyDescent="0.25">
      <c r="B11" s="2">
        <v>1052</v>
      </c>
      <c r="C11" s="2" t="s">
        <v>14</v>
      </c>
      <c r="D11" s="2" t="s">
        <v>7</v>
      </c>
      <c r="E11" s="2" t="s">
        <v>8</v>
      </c>
      <c r="F11" s="2" t="s">
        <v>14</v>
      </c>
      <c r="G11" s="3">
        <v>258544.7</v>
      </c>
    </row>
    <row r="12" spans="1:7" x14ac:dyDescent="0.25">
      <c r="B12" s="2">
        <v>1055</v>
      </c>
      <c r="C12" s="2" t="s">
        <v>15</v>
      </c>
      <c r="D12" s="2" t="s">
        <v>7</v>
      </c>
      <c r="E12" s="2" t="s">
        <v>8</v>
      </c>
      <c r="F12" s="2"/>
      <c r="G12" s="3">
        <v>8281.48</v>
      </c>
    </row>
    <row r="15" spans="1:7" x14ac:dyDescent="0.25">
      <c r="A15" s="11"/>
      <c r="B15" s="12"/>
      <c r="C15" s="12"/>
      <c r="D15" s="12"/>
      <c r="E15" s="12"/>
      <c r="F15" s="12"/>
      <c r="G15" s="12"/>
    </row>
  </sheetData>
  <mergeCells count="4">
    <mergeCell ref="A15:G15"/>
    <mergeCell ref="A1:G1"/>
    <mergeCell ref="A2:G2"/>
    <mergeCell ref="A3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4D51F-B154-4F93-96C6-B74B68571A81}">
  <sheetPr>
    <pageSetUpPr fitToPage="1"/>
  </sheetPr>
  <dimension ref="A1:I213"/>
  <sheetViews>
    <sheetView topLeftCell="A205" workbookViewId="0">
      <selection activeCell="F209" sqref="F209"/>
    </sheetView>
  </sheetViews>
  <sheetFormatPr defaultRowHeight="15" x14ac:dyDescent="0.25"/>
  <cols>
    <col min="1" max="1" width="48.140625" customWidth="1"/>
    <col min="2" max="2" width="11.140625" customWidth="1"/>
    <col min="3" max="7" width="12" customWidth="1"/>
    <col min="9" max="9" width="11.5703125" bestFit="1" customWidth="1"/>
  </cols>
  <sheetData>
    <row r="1" spans="1:7" ht="18" x14ac:dyDescent="0.25">
      <c r="A1" s="13" t="s">
        <v>16</v>
      </c>
      <c r="B1" s="12"/>
      <c r="C1" s="12"/>
      <c r="D1" s="12"/>
      <c r="E1" s="12"/>
      <c r="F1" s="12"/>
      <c r="G1" s="12"/>
    </row>
    <row r="2" spans="1:7" ht="18" x14ac:dyDescent="0.25">
      <c r="A2" s="13" t="s">
        <v>229</v>
      </c>
      <c r="B2" s="12"/>
      <c r="C2" s="12"/>
      <c r="D2" s="12"/>
      <c r="E2" s="12"/>
      <c r="F2" s="12"/>
      <c r="G2" s="12"/>
    </row>
    <row r="3" spans="1:7" x14ac:dyDescent="0.25">
      <c r="A3" s="15" t="s">
        <v>228</v>
      </c>
      <c r="B3" s="12"/>
      <c r="C3" s="12"/>
      <c r="D3" s="12"/>
      <c r="E3" s="12"/>
      <c r="F3" s="12"/>
      <c r="G3" s="12"/>
    </row>
    <row r="5" spans="1:7" ht="24.75" x14ac:dyDescent="0.25">
      <c r="A5" s="7"/>
      <c r="B5" s="1" t="s">
        <v>227</v>
      </c>
      <c r="C5" s="1" t="s">
        <v>226</v>
      </c>
      <c r="D5" s="1" t="s">
        <v>225</v>
      </c>
      <c r="E5" s="1" t="s">
        <v>224</v>
      </c>
      <c r="F5" s="1" t="s">
        <v>223</v>
      </c>
      <c r="G5" s="1" t="s">
        <v>222</v>
      </c>
    </row>
    <row r="6" spans="1:7" x14ac:dyDescent="0.25">
      <c r="A6" s="5" t="s">
        <v>221</v>
      </c>
      <c r="B6" s="4"/>
      <c r="C6" s="4"/>
      <c r="D6" s="4"/>
      <c r="E6" s="4"/>
      <c r="F6" s="4"/>
      <c r="G6" s="4"/>
    </row>
    <row r="7" spans="1:7" x14ac:dyDescent="0.25">
      <c r="A7" s="5" t="s">
        <v>220</v>
      </c>
      <c r="B7" s="3">
        <f>111650.24</f>
        <v>111650.24000000001</v>
      </c>
      <c r="C7" s="3">
        <f>57664.83</f>
        <v>57664.83</v>
      </c>
      <c r="D7" s="3">
        <f>78762.33</f>
        <v>78762.33</v>
      </c>
      <c r="E7" s="3">
        <f>350749.08</f>
        <v>350749.08</v>
      </c>
      <c r="F7" s="3">
        <f>138884.57</f>
        <v>138884.57</v>
      </c>
      <c r="G7" s="3">
        <f>((((B7)+(C7))+(D7))+(E7))+(F7)</f>
        <v>737711.05</v>
      </c>
    </row>
    <row r="8" spans="1:7" x14ac:dyDescent="0.25">
      <c r="A8" s="5" t="s">
        <v>219</v>
      </c>
      <c r="B8" s="3">
        <f>56540</f>
        <v>56540</v>
      </c>
      <c r="C8" s="3">
        <f>79761.34</f>
        <v>79761.34</v>
      </c>
      <c r="D8" s="3">
        <f>66719.4</f>
        <v>66719.399999999994</v>
      </c>
      <c r="E8" s="3">
        <f>61216.3</f>
        <v>61216.3</v>
      </c>
      <c r="F8" s="3">
        <f>73700.16</f>
        <v>73700.160000000003</v>
      </c>
      <c r="G8" s="3">
        <f>((((B8)+(C8))+(D8))+(E8))+(F8)</f>
        <v>337937.19999999995</v>
      </c>
    </row>
    <row r="9" spans="1:7" x14ac:dyDescent="0.25">
      <c r="A9" s="5" t="s">
        <v>218</v>
      </c>
      <c r="B9" s="3">
        <f>-225</f>
        <v>-225</v>
      </c>
      <c r="C9" s="3">
        <f>32726.5</f>
        <v>32726.5</v>
      </c>
      <c r="D9" s="3">
        <f>13775</f>
        <v>13775</v>
      </c>
      <c r="E9" s="3">
        <f>9909</f>
        <v>9909</v>
      </c>
      <c r="F9" s="3">
        <f>7307.88</f>
        <v>7307.88</v>
      </c>
      <c r="G9" s="3">
        <f>((((B9)+(C9))+(D9))+(E9))+(F9)</f>
        <v>63493.38</v>
      </c>
    </row>
    <row r="10" spans="1:7" x14ac:dyDescent="0.25">
      <c r="A10" s="5" t="s">
        <v>217</v>
      </c>
      <c r="B10" s="4"/>
      <c r="C10" s="4"/>
      <c r="D10" s="4"/>
      <c r="E10" s="3">
        <f>27063</f>
        <v>27063</v>
      </c>
      <c r="G10" s="3">
        <f t="shared" ref="G10:G73" si="0">((((B10)+(C10))+(D10))+(E10))+(F10)</f>
        <v>27063</v>
      </c>
    </row>
    <row r="11" spans="1:7" x14ac:dyDescent="0.25">
      <c r="A11" s="5" t="s">
        <v>216</v>
      </c>
      <c r="B11" s="4"/>
      <c r="C11" s="4"/>
      <c r="D11" s="4"/>
      <c r="E11" s="4"/>
      <c r="G11" s="4">
        <f t="shared" si="0"/>
        <v>0</v>
      </c>
    </row>
    <row r="12" spans="1:7" x14ac:dyDescent="0.25">
      <c r="A12" s="5" t="s">
        <v>215</v>
      </c>
      <c r="B12" s="3">
        <f>16199.68</f>
        <v>16199.68</v>
      </c>
      <c r="C12" s="3">
        <f>29555.23</f>
        <v>29555.23</v>
      </c>
      <c r="D12" s="3">
        <f>33649.89</f>
        <v>33649.89</v>
      </c>
      <c r="E12" s="3">
        <f>30109.73</f>
        <v>30109.73</v>
      </c>
      <c r="F12" s="3">
        <f>29056.83</f>
        <v>29056.83</v>
      </c>
      <c r="G12" s="3">
        <f t="shared" si="0"/>
        <v>138571.35999999999</v>
      </c>
    </row>
    <row r="13" spans="1:7" x14ac:dyDescent="0.25">
      <c r="A13" s="5" t="s">
        <v>214</v>
      </c>
      <c r="B13" s="3">
        <f>202725.96</f>
        <v>202725.96</v>
      </c>
      <c r="C13" s="3">
        <f>302203.95</f>
        <v>302203.95</v>
      </c>
      <c r="D13" s="3">
        <f>259185.05</f>
        <v>259185.05</v>
      </c>
      <c r="E13" s="3">
        <f>221043.95</f>
        <v>221043.95</v>
      </c>
      <c r="F13" s="3">
        <f>212692.96</f>
        <v>212692.96</v>
      </c>
      <c r="G13" s="3">
        <f>((((B13)+(C13))+(D13))+(E13))+(F13)</f>
        <v>1197851.8699999999</v>
      </c>
    </row>
    <row r="14" spans="1:7" x14ac:dyDescent="0.25">
      <c r="A14" s="5" t="s">
        <v>213</v>
      </c>
      <c r="B14" s="3">
        <f>3607</f>
        <v>3607</v>
      </c>
      <c r="C14" s="3">
        <f>907</f>
        <v>907</v>
      </c>
      <c r="D14" s="3">
        <f>45075</f>
        <v>45075</v>
      </c>
      <c r="E14" s="3">
        <f>22543.79</f>
        <v>22543.79</v>
      </c>
      <c r="F14" s="3">
        <f>15450.08</f>
        <v>15450.08</v>
      </c>
      <c r="G14" s="3">
        <f t="shared" si="0"/>
        <v>87582.87000000001</v>
      </c>
    </row>
    <row r="15" spans="1:7" x14ac:dyDescent="0.25">
      <c r="A15" s="5" t="s">
        <v>212</v>
      </c>
      <c r="B15" s="3">
        <f>1500</f>
        <v>1500</v>
      </c>
      <c r="C15" s="3">
        <f>0</f>
        <v>0</v>
      </c>
      <c r="D15" s="3">
        <f>0</f>
        <v>0</v>
      </c>
      <c r="E15" s="4"/>
      <c r="F15" s="3"/>
      <c r="G15" s="3">
        <f t="shared" si="0"/>
        <v>1500</v>
      </c>
    </row>
    <row r="16" spans="1:7" x14ac:dyDescent="0.25">
      <c r="A16" s="5" t="s">
        <v>211</v>
      </c>
      <c r="B16" s="4"/>
      <c r="C16" s="4"/>
      <c r="D16" s="3">
        <f>-5000</f>
        <v>-5000</v>
      </c>
      <c r="E16" s="4"/>
      <c r="F16" s="3"/>
      <c r="G16" s="3">
        <f t="shared" si="0"/>
        <v>-5000</v>
      </c>
    </row>
    <row r="17" spans="1:7" x14ac:dyDescent="0.25">
      <c r="A17" s="5" t="s">
        <v>210</v>
      </c>
      <c r="B17" s="4"/>
      <c r="C17" s="3">
        <f>0</f>
        <v>0</v>
      </c>
      <c r="D17" s="3">
        <f>1000</f>
        <v>1000</v>
      </c>
      <c r="E17" s="4"/>
      <c r="F17" s="4"/>
      <c r="G17" s="4">
        <f>((((B17)+(C17))+(D17))+(E17))+(F17)</f>
        <v>1000</v>
      </c>
    </row>
    <row r="18" spans="1:7" x14ac:dyDescent="0.25">
      <c r="A18" s="5" t="s">
        <v>209</v>
      </c>
      <c r="B18" s="3">
        <f>1100</f>
        <v>1100</v>
      </c>
      <c r="C18" s="4"/>
      <c r="D18" s="3">
        <f>12086</f>
        <v>12086</v>
      </c>
      <c r="E18" s="3">
        <f>350</f>
        <v>350</v>
      </c>
      <c r="F18" s="3"/>
      <c r="G18" s="3">
        <f t="shared" si="0"/>
        <v>13536</v>
      </c>
    </row>
    <row r="19" spans="1:7" x14ac:dyDescent="0.25">
      <c r="A19" s="5" t="s">
        <v>208</v>
      </c>
      <c r="B19" s="4"/>
      <c r="C19" s="4"/>
      <c r="D19" s="3">
        <f>1757.53</f>
        <v>1757.53</v>
      </c>
      <c r="E19" s="3">
        <f>3000</f>
        <v>3000</v>
      </c>
      <c r="F19" s="3"/>
      <c r="G19" s="3">
        <f t="shared" si="0"/>
        <v>4757.53</v>
      </c>
    </row>
    <row r="20" spans="1:7" x14ac:dyDescent="0.25">
      <c r="A20" s="5" t="s">
        <v>207</v>
      </c>
      <c r="B20" s="3">
        <f>2649.79</f>
        <v>2649.79</v>
      </c>
      <c r="C20" s="4"/>
      <c r="D20" s="4"/>
      <c r="E20" s="4"/>
      <c r="F20" s="4"/>
      <c r="G20" s="4">
        <f t="shared" si="0"/>
        <v>2649.79</v>
      </c>
    </row>
    <row r="21" spans="1:7" x14ac:dyDescent="0.25">
      <c r="A21" s="5" t="s">
        <v>206</v>
      </c>
      <c r="B21" s="4"/>
      <c r="C21" s="3">
        <f>5000</f>
        <v>5000</v>
      </c>
      <c r="D21" s="4"/>
      <c r="E21" s="4"/>
      <c r="F21" s="4"/>
      <c r="G21" s="4">
        <f t="shared" si="0"/>
        <v>5000</v>
      </c>
    </row>
    <row r="22" spans="1:7" x14ac:dyDescent="0.25">
      <c r="A22" s="5" t="s">
        <v>205</v>
      </c>
      <c r="B22" s="6">
        <f>(((((((B14)+(B15))+(B16))+(B17))+(B18))+(B19))+(B20))+(B21)</f>
        <v>8856.7900000000009</v>
      </c>
      <c r="C22" s="6">
        <f>(((((((C14)+(C15))+(C16))+(C17))+(C18))+(C19))+(C20))+(C21)</f>
        <v>5907</v>
      </c>
      <c r="D22" s="6">
        <f>(((((((D14)+(D15))+(D16))+(D17))+(D18))+(D19))+(D20))+(D21)</f>
        <v>54918.53</v>
      </c>
      <c r="E22" s="6">
        <f>(((((((E14)+(E15))+(E16))+(E17))+(E18))+(E19))+(E20))+(E21)</f>
        <v>25893.79</v>
      </c>
      <c r="F22" s="6">
        <f>SUM(F14:F21)</f>
        <v>15450.08</v>
      </c>
      <c r="G22" s="6">
        <f>((((B22)+(C22))+(D22))+(E22))+(F22)</f>
        <v>111026.19000000002</v>
      </c>
    </row>
    <row r="23" spans="1:7" x14ac:dyDescent="0.25">
      <c r="A23" s="5" t="s">
        <v>204</v>
      </c>
      <c r="B23" s="3">
        <f>8000</f>
        <v>8000</v>
      </c>
      <c r="C23" s="3">
        <f>6500</f>
        <v>6500</v>
      </c>
      <c r="D23" s="4"/>
      <c r="E23" s="4"/>
      <c r="F23" s="4"/>
      <c r="G23" s="4">
        <f t="shared" si="0"/>
        <v>14500</v>
      </c>
    </row>
    <row r="24" spans="1:7" x14ac:dyDescent="0.25">
      <c r="A24" s="5" t="s">
        <v>203</v>
      </c>
      <c r="B24" s="3">
        <f>550</f>
        <v>550</v>
      </c>
      <c r="C24" s="3">
        <f>1212.5</f>
        <v>1212.5</v>
      </c>
      <c r="D24" s="4"/>
      <c r="E24" s="4"/>
      <c r="F24" s="4"/>
      <c r="G24" s="4">
        <f t="shared" si="0"/>
        <v>1762.5</v>
      </c>
    </row>
    <row r="25" spans="1:7" x14ac:dyDescent="0.25">
      <c r="A25" s="5" t="s">
        <v>202</v>
      </c>
      <c r="B25" s="3">
        <f>8396.1</f>
        <v>8396.1</v>
      </c>
      <c r="C25" s="3">
        <f>19534.48</f>
        <v>19534.48</v>
      </c>
      <c r="D25" s="3">
        <f>19822.18</f>
        <v>19822.18</v>
      </c>
      <c r="E25" s="3">
        <f>8452.18</f>
        <v>8452.18</v>
      </c>
      <c r="F25" s="3">
        <v>13680.11</v>
      </c>
      <c r="G25" s="3">
        <f t="shared" si="0"/>
        <v>69885.05</v>
      </c>
    </row>
    <row r="26" spans="1:7" x14ac:dyDescent="0.25">
      <c r="A26" s="5" t="s">
        <v>201</v>
      </c>
      <c r="B26" s="3">
        <f>13231.91</f>
        <v>13231.91</v>
      </c>
      <c r="C26" s="3">
        <f>20030.02</f>
        <v>20030.02</v>
      </c>
      <c r="D26" s="3">
        <f>23514.32</f>
        <v>23514.32</v>
      </c>
      <c r="E26" s="3">
        <f>26953.6</f>
        <v>26953.599999999999</v>
      </c>
      <c r="F26" s="4">
        <v>8794.16</v>
      </c>
      <c r="G26" s="4">
        <f t="shared" si="0"/>
        <v>92524.010000000009</v>
      </c>
    </row>
    <row r="27" spans="1:7" x14ac:dyDescent="0.25">
      <c r="A27" s="5" t="s">
        <v>200</v>
      </c>
      <c r="B27" s="3">
        <f>11501.83</f>
        <v>11501.83</v>
      </c>
      <c r="C27" s="3">
        <f>12018.48</f>
        <v>12018.48</v>
      </c>
      <c r="D27" s="3">
        <f>14296.86</f>
        <v>14296.86</v>
      </c>
      <c r="E27" s="3">
        <f>16775.62</f>
        <v>16775.62</v>
      </c>
      <c r="F27" s="4">
        <v>15727.76</v>
      </c>
      <c r="G27" s="4">
        <f t="shared" si="0"/>
        <v>70320.549999999988</v>
      </c>
    </row>
    <row r="28" spans="1:7" x14ac:dyDescent="0.25">
      <c r="A28" s="5" t="s">
        <v>199</v>
      </c>
      <c r="B28" s="4"/>
      <c r="C28" s="4"/>
      <c r="D28" s="4"/>
      <c r="E28" s="4"/>
      <c r="F28" s="4">
        <v>136768</v>
      </c>
      <c r="G28" s="4">
        <f t="shared" si="0"/>
        <v>136768</v>
      </c>
    </row>
    <row r="29" spans="1:7" x14ac:dyDescent="0.25">
      <c r="A29" s="5" t="s">
        <v>198</v>
      </c>
      <c r="B29" s="3">
        <f>75617</f>
        <v>75617</v>
      </c>
      <c r="C29" s="4"/>
      <c r="D29" s="4"/>
      <c r="E29" s="4"/>
      <c r="F29" s="4">
        <v>408</v>
      </c>
      <c r="G29" s="4">
        <f t="shared" si="0"/>
        <v>76025</v>
      </c>
    </row>
    <row r="30" spans="1:7" x14ac:dyDescent="0.25">
      <c r="A30" s="5" t="s">
        <v>197</v>
      </c>
      <c r="B30" s="4"/>
      <c r="C30" s="4"/>
      <c r="D30" s="3">
        <f>0</f>
        <v>0</v>
      </c>
      <c r="E30" s="4"/>
      <c r="F30" s="4"/>
      <c r="G30" s="4">
        <f t="shared" si="0"/>
        <v>0</v>
      </c>
    </row>
    <row r="31" spans="1:7" x14ac:dyDescent="0.25">
      <c r="A31" s="5" t="s">
        <v>196</v>
      </c>
      <c r="B31" s="4"/>
      <c r="C31" s="4"/>
      <c r="D31" s="3">
        <f>110000</f>
        <v>110000</v>
      </c>
      <c r="E31" s="3">
        <f>150000</f>
        <v>150000</v>
      </c>
      <c r="F31" s="3">
        <v>200000</v>
      </c>
      <c r="G31" s="3">
        <f>((((B31)+(C31))+(D31))+(E31))+(F31)</f>
        <v>460000</v>
      </c>
    </row>
    <row r="32" spans="1:7" x14ac:dyDescent="0.25">
      <c r="A32" s="5" t="s">
        <v>195</v>
      </c>
      <c r="B32" s="3">
        <f>22348</f>
        <v>22348</v>
      </c>
      <c r="C32" s="4"/>
      <c r="D32" s="4"/>
      <c r="E32" s="4"/>
      <c r="F32" s="4">
        <v>0</v>
      </c>
      <c r="G32" s="4">
        <f t="shared" si="0"/>
        <v>22348</v>
      </c>
    </row>
    <row r="33" spans="1:7" x14ac:dyDescent="0.25">
      <c r="A33" s="5" t="s">
        <v>194</v>
      </c>
      <c r="B33" s="3">
        <f>1681.61</f>
        <v>1681.61</v>
      </c>
      <c r="C33" s="4"/>
      <c r="D33" s="4"/>
      <c r="E33" s="4"/>
      <c r="F33" s="4">
        <v>0</v>
      </c>
      <c r="G33" s="4">
        <f t="shared" si="0"/>
        <v>1681.61</v>
      </c>
    </row>
    <row r="34" spans="1:7" x14ac:dyDescent="0.25">
      <c r="A34" s="5" t="s">
        <v>193</v>
      </c>
      <c r="B34" s="3">
        <f>1350</f>
        <v>1350</v>
      </c>
      <c r="C34" s="4"/>
      <c r="D34" s="3">
        <f>1350</f>
        <v>1350</v>
      </c>
      <c r="E34" s="3">
        <f>1350</f>
        <v>1350</v>
      </c>
      <c r="F34" s="3"/>
      <c r="G34" s="3">
        <f t="shared" si="0"/>
        <v>4050</v>
      </c>
    </row>
    <row r="35" spans="1:7" x14ac:dyDescent="0.25">
      <c r="A35" s="5" t="s">
        <v>192</v>
      </c>
      <c r="B35" s="4"/>
      <c r="C35" s="4"/>
      <c r="D35" s="4"/>
      <c r="E35" s="4"/>
      <c r="F35" s="4">
        <v>20</v>
      </c>
      <c r="G35" s="4">
        <f t="shared" si="0"/>
        <v>20</v>
      </c>
    </row>
    <row r="36" spans="1:7" x14ac:dyDescent="0.25">
      <c r="A36" s="5" t="s">
        <v>191</v>
      </c>
      <c r="B36" s="3">
        <f>8322.62</f>
        <v>8322.6200000000008</v>
      </c>
      <c r="C36" s="3">
        <f>1016</f>
        <v>1016</v>
      </c>
      <c r="D36" s="3">
        <f>136</f>
        <v>136</v>
      </c>
      <c r="E36" s="3">
        <f>115248.44</f>
        <v>115248.44</v>
      </c>
      <c r="F36" s="3">
        <v>289468.96000000002</v>
      </c>
      <c r="G36" s="3">
        <f t="shared" si="0"/>
        <v>414192.02</v>
      </c>
    </row>
    <row r="37" spans="1:7" x14ac:dyDescent="0.25">
      <c r="A37" s="5" t="s">
        <v>190</v>
      </c>
      <c r="B37" s="3">
        <f>27548.06</f>
        <v>27548.06</v>
      </c>
      <c r="C37" s="3">
        <f>36553.03</f>
        <v>36553.03</v>
      </c>
      <c r="D37" s="3">
        <f>42375.17</f>
        <v>42375.17</v>
      </c>
      <c r="E37" s="3">
        <f>42725.4</f>
        <v>42725.4</v>
      </c>
      <c r="F37" s="3">
        <v>0</v>
      </c>
      <c r="G37" s="3">
        <f t="shared" si="0"/>
        <v>149201.66</v>
      </c>
    </row>
    <row r="38" spans="1:7" x14ac:dyDescent="0.25">
      <c r="A38" s="5" t="s">
        <v>189</v>
      </c>
      <c r="B38" s="3">
        <f>1547.57</f>
        <v>1547.57</v>
      </c>
      <c r="C38" s="3">
        <f>1901.69</f>
        <v>1901.69</v>
      </c>
      <c r="D38" s="3">
        <f>1737.35</f>
        <v>1737.35</v>
      </c>
      <c r="E38" s="3">
        <f>1281.46</f>
        <v>1281.46</v>
      </c>
      <c r="F38" s="3">
        <v>1673.82</v>
      </c>
      <c r="G38" s="3">
        <f t="shared" si="0"/>
        <v>8141.89</v>
      </c>
    </row>
    <row r="39" spans="1:7" x14ac:dyDescent="0.25">
      <c r="A39" s="5" t="s">
        <v>188</v>
      </c>
      <c r="B39" s="3">
        <f>6733.53</f>
        <v>6733.53</v>
      </c>
      <c r="C39" s="3">
        <f>11577.32</f>
        <v>11577.32</v>
      </c>
      <c r="D39" s="3">
        <f>7599.38</f>
        <v>7599.38</v>
      </c>
      <c r="E39" s="3">
        <f>8699.39</f>
        <v>8699.39</v>
      </c>
      <c r="F39" s="3">
        <v>8682.4</v>
      </c>
      <c r="G39" s="3">
        <f t="shared" si="0"/>
        <v>43292.02</v>
      </c>
    </row>
    <row r="40" spans="1:7" x14ac:dyDescent="0.25">
      <c r="A40" s="5" t="s">
        <v>187</v>
      </c>
      <c r="B40" s="3">
        <f>26750</f>
        <v>26750</v>
      </c>
      <c r="C40" s="3">
        <f>26750</f>
        <v>26750</v>
      </c>
      <c r="D40" s="3">
        <f>1099.68</f>
        <v>1099.68</v>
      </c>
      <c r="E40" s="3">
        <f>0</f>
        <v>0</v>
      </c>
      <c r="F40" s="3"/>
      <c r="G40" s="3">
        <f t="shared" si="0"/>
        <v>54599.68</v>
      </c>
    </row>
    <row r="41" spans="1:7" x14ac:dyDescent="0.25">
      <c r="A41" s="5" t="s">
        <v>186</v>
      </c>
      <c r="B41" s="4"/>
      <c r="C41" s="4"/>
      <c r="D41" s="4"/>
      <c r="E41" s="3">
        <f>-1409.21</f>
        <v>-1409.21</v>
      </c>
      <c r="F41" s="3"/>
      <c r="G41" s="3">
        <f t="shared" si="0"/>
        <v>-1409.21</v>
      </c>
    </row>
    <row r="42" spans="1:7" x14ac:dyDescent="0.25">
      <c r="A42" s="5" t="s">
        <v>185</v>
      </c>
      <c r="B42" s="4"/>
      <c r="C42" s="3">
        <f>0</f>
        <v>0</v>
      </c>
      <c r="D42" s="4"/>
      <c r="E42" s="3">
        <f>-385</f>
        <v>-385</v>
      </c>
      <c r="F42" s="3">
        <v>1080.94</v>
      </c>
      <c r="G42" s="3">
        <f t="shared" si="0"/>
        <v>695.94</v>
      </c>
    </row>
    <row r="43" spans="1:7" x14ac:dyDescent="0.25">
      <c r="A43" s="5" t="s">
        <v>184</v>
      </c>
      <c r="B43" s="3">
        <f>5908</f>
        <v>5908</v>
      </c>
      <c r="C43" s="4"/>
      <c r="D43" s="3">
        <f>30745</f>
        <v>30745</v>
      </c>
      <c r="E43" s="3">
        <f>25660</f>
        <v>25660</v>
      </c>
      <c r="F43" s="3">
        <v>30792</v>
      </c>
      <c r="G43" s="3">
        <f t="shared" si="0"/>
        <v>93105</v>
      </c>
    </row>
    <row r="44" spans="1:7" x14ac:dyDescent="0.25">
      <c r="A44" s="5" t="s">
        <v>183</v>
      </c>
      <c r="B44" s="4"/>
      <c r="C44" s="4"/>
      <c r="D44" s="4"/>
      <c r="E44" s="3">
        <f>2566</f>
        <v>2566</v>
      </c>
      <c r="F44" s="3">
        <v>0</v>
      </c>
      <c r="G44" s="3">
        <f t="shared" si="0"/>
        <v>2566</v>
      </c>
    </row>
    <row r="45" spans="1:7" x14ac:dyDescent="0.25">
      <c r="A45" s="5" t="s">
        <v>182</v>
      </c>
      <c r="B45" s="4"/>
      <c r="C45" s="4"/>
      <c r="D45" s="3">
        <f>0</f>
        <v>0</v>
      </c>
      <c r="E45" s="3">
        <f>250</f>
        <v>250</v>
      </c>
      <c r="F45" s="3"/>
      <c r="G45" s="3">
        <f t="shared" si="0"/>
        <v>250</v>
      </c>
    </row>
    <row r="46" spans="1:7" x14ac:dyDescent="0.25">
      <c r="A46" s="5" t="s">
        <v>181</v>
      </c>
      <c r="B46" s="3">
        <f>2820</f>
        <v>2820</v>
      </c>
      <c r="C46" s="3">
        <f>5415</f>
        <v>5415</v>
      </c>
      <c r="D46" s="3">
        <f>3652.34</f>
        <v>3652.34</v>
      </c>
      <c r="E46" s="3">
        <f>50</f>
        <v>50</v>
      </c>
      <c r="F46" s="3"/>
      <c r="G46" s="3">
        <f t="shared" si="0"/>
        <v>11937.34</v>
      </c>
    </row>
    <row r="47" spans="1:7" x14ac:dyDescent="0.25">
      <c r="A47" s="5" t="s">
        <v>180</v>
      </c>
      <c r="B47" s="3">
        <f>0</f>
        <v>0</v>
      </c>
      <c r="C47" s="3">
        <f>0</f>
        <v>0</v>
      </c>
      <c r="D47" s="3">
        <f>0</f>
        <v>0</v>
      </c>
      <c r="E47" s="4"/>
      <c r="F47" s="4">
        <v>0</v>
      </c>
      <c r="G47" s="4">
        <f t="shared" si="0"/>
        <v>0</v>
      </c>
    </row>
    <row r="48" spans="1:7" x14ac:dyDescent="0.25">
      <c r="A48" s="5" t="s">
        <v>179</v>
      </c>
      <c r="B48" s="4"/>
      <c r="C48" s="4"/>
      <c r="D48" s="3">
        <f>1388.84</f>
        <v>1388.84</v>
      </c>
      <c r="E48" s="4"/>
      <c r="F48" s="4">
        <v>0</v>
      </c>
      <c r="G48" s="4">
        <f t="shared" si="0"/>
        <v>1388.84</v>
      </c>
    </row>
    <row r="49" spans="1:7" x14ac:dyDescent="0.25">
      <c r="A49" s="5" t="s">
        <v>178</v>
      </c>
      <c r="B49" s="4"/>
      <c r="C49" s="4"/>
      <c r="D49" s="4"/>
      <c r="E49" s="3">
        <f>59.92</f>
        <v>59.92</v>
      </c>
      <c r="F49" s="3">
        <v>0</v>
      </c>
      <c r="G49" s="3">
        <f t="shared" si="0"/>
        <v>59.92</v>
      </c>
    </row>
    <row r="50" spans="1:7" x14ac:dyDescent="0.25">
      <c r="A50" s="5" t="s">
        <v>177</v>
      </c>
      <c r="B50" s="4"/>
      <c r="C50" s="4"/>
      <c r="D50" s="4"/>
      <c r="E50" s="4"/>
      <c r="F50" s="4">
        <v>0</v>
      </c>
      <c r="G50" s="4">
        <f t="shared" si="0"/>
        <v>0</v>
      </c>
    </row>
    <row r="51" spans="1:7" x14ac:dyDescent="0.25">
      <c r="A51" s="5" t="s">
        <v>176</v>
      </c>
      <c r="B51" s="3">
        <f>21675</f>
        <v>21675</v>
      </c>
      <c r="C51" s="3">
        <f>22560</f>
        <v>22560</v>
      </c>
      <c r="D51" s="3">
        <f>21105</f>
        <v>21105</v>
      </c>
      <c r="E51" s="3">
        <f>13850</f>
        <v>13850</v>
      </c>
      <c r="F51" s="3">
        <v>15591.05</v>
      </c>
      <c r="G51" s="3">
        <f t="shared" si="0"/>
        <v>94781.05</v>
      </c>
    </row>
    <row r="52" spans="1:7" x14ac:dyDescent="0.25">
      <c r="A52" s="5" t="s">
        <v>175</v>
      </c>
      <c r="B52" s="3">
        <f>6614.2</f>
        <v>6614.2</v>
      </c>
      <c r="C52" s="3">
        <f>2521</f>
        <v>2521</v>
      </c>
      <c r="D52" s="3">
        <f>4838</f>
        <v>4838</v>
      </c>
      <c r="E52" s="3">
        <f>3600</f>
        <v>3600</v>
      </c>
      <c r="F52" s="3">
        <v>8751.3799999999992</v>
      </c>
      <c r="G52" s="3">
        <f t="shared" si="0"/>
        <v>26324.58</v>
      </c>
    </row>
    <row r="53" spans="1:7" x14ac:dyDescent="0.25">
      <c r="A53" s="5" t="s">
        <v>174</v>
      </c>
      <c r="B53" s="3">
        <f>1100</f>
        <v>1100</v>
      </c>
      <c r="C53" s="3">
        <f>850</f>
        <v>850</v>
      </c>
      <c r="D53" s="3">
        <f>600</f>
        <v>600</v>
      </c>
      <c r="E53" s="4"/>
      <c r="F53" s="4">
        <v>2200</v>
      </c>
      <c r="G53" s="4">
        <f t="shared" si="0"/>
        <v>4750</v>
      </c>
    </row>
    <row r="54" spans="1:7" x14ac:dyDescent="0.25">
      <c r="A54" s="5" t="s">
        <v>173</v>
      </c>
      <c r="B54" s="3">
        <f>40500</f>
        <v>40500</v>
      </c>
      <c r="C54" s="3">
        <f>44800</f>
        <v>44800</v>
      </c>
      <c r="D54" s="3">
        <f>54200</f>
        <v>54200</v>
      </c>
      <c r="E54" s="3">
        <f>52813.79</f>
        <v>52813.79</v>
      </c>
      <c r="F54" s="3">
        <v>68009.19</v>
      </c>
      <c r="G54" s="3">
        <f t="shared" si="0"/>
        <v>260322.98</v>
      </c>
    </row>
    <row r="55" spans="1:7" x14ac:dyDescent="0.25">
      <c r="A55" s="5" t="s">
        <v>172</v>
      </c>
      <c r="B55" s="4"/>
      <c r="C55" s="4"/>
      <c r="D55" s="4"/>
      <c r="E55" s="4"/>
      <c r="F55" s="4">
        <v>-5333.97</v>
      </c>
      <c r="G55" s="4">
        <f t="shared" si="0"/>
        <v>-5333.97</v>
      </c>
    </row>
    <row r="56" spans="1:7" x14ac:dyDescent="0.25">
      <c r="A56" s="5" t="s">
        <v>171</v>
      </c>
      <c r="B56" s="3">
        <f>15140</f>
        <v>15140</v>
      </c>
      <c r="C56" s="3">
        <f>14280</f>
        <v>14280</v>
      </c>
      <c r="D56" s="3">
        <f>14755</f>
        <v>14755</v>
      </c>
      <c r="E56" s="3">
        <f>15165</f>
        <v>15165</v>
      </c>
      <c r="F56" s="3">
        <v>14570</v>
      </c>
      <c r="G56" s="3">
        <f t="shared" si="0"/>
        <v>73910</v>
      </c>
    </row>
    <row r="57" spans="1:7" x14ac:dyDescent="0.25">
      <c r="A57" s="5" t="s">
        <v>170</v>
      </c>
      <c r="B57" s="3">
        <f>-2355.23</f>
        <v>-2355.23</v>
      </c>
      <c r="C57" s="3">
        <f>-400</f>
        <v>-400</v>
      </c>
      <c r="D57" s="3">
        <f>-1366.78</f>
        <v>-1366.78</v>
      </c>
      <c r="E57" s="3">
        <f>-1144.5</f>
        <v>-1144.5</v>
      </c>
      <c r="F57" s="3">
        <v>0</v>
      </c>
      <c r="G57" s="3">
        <f t="shared" si="0"/>
        <v>-5266.51</v>
      </c>
    </row>
    <row r="58" spans="1:7" x14ac:dyDescent="0.25">
      <c r="A58" s="5" t="s">
        <v>169</v>
      </c>
      <c r="B58" s="6">
        <f>(((((((B50)+(B51))+(B52))+(B53))+(B54))+(B55))+(B56))+(B57)</f>
        <v>82673.97</v>
      </c>
      <c r="C58" s="6">
        <f>(((((((C50)+(C51))+(C52))+(C53))+(C54))+(C55))+(C56))+(C57)</f>
        <v>84611</v>
      </c>
      <c r="D58" s="6">
        <f>(((((((D50)+(D51))+(D52))+(D53))+(D54))+(D55))+(D56))+(D57)</f>
        <v>94131.22</v>
      </c>
      <c r="E58" s="6">
        <f>(((((((E50)+(E51))+(E52))+(E53))+(E54))+(E55))+(E56))+(E57)</f>
        <v>84284.290000000008</v>
      </c>
      <c r="F58" s="6">
        <f>SUM(F51:F57)</f>
        <v>103787.65</v>
      </c>
      <c r="G58" s="6">
        <f t="shared" si="0"/>
        <v>449488.13</v>
      </c>
    </row>
    <row r="59" spans="1:7" x14ac:dyDescent="0.25">
      <c r="A59" s="5" t="s">
        <v>168</v>
      </c>
      <c r="B59" s="4"/>
      <c r="C59" s="4"/>
      <c r="D59" s="3">
        <f>-20150</f>
        <v>-20150</v>
      </c>
      <c r="E59" s="3">
        <f>20150</f>
        <v>20150</v>
      </c>
      <c r="F59" s="3">
        <v>200</v>
      </c>
      <c r="G59" s="3">
        <f t="shared" si="0"/>
        <v>200</v>
      </c>
    </row>
    <row r="60" spans="1:7" x14ac:dyDescent="0.25">
      <c r="A60" s="5" t="s">
        <v>167</v>
      </c>
      <c r="B60" s="3">
        <f>1455</f>
        <v>1455</v>
      </c>
      <c r="C60" s="3">
        <f>1080</f>
        <v>1080</v>
      </c>
      <c r="D60" s="4"/>
      <c r="E60" s="3">
        <f>5970</f>
        <v>5970</v>
      </c>
      <c r="F60" s="3">
        <v>0</v>
      </c>
      <c r="G60" s="3">
        <f t="shared" si="0"/>
        <v>8505</v>
      </c>
    </row>
    <row r="61" spans="1:7" x14ac:dyDescent="0.25">
      <c r="A61" s="5" t="s">
        <v>166</v>
      </c>
      <c r="B61" s="3">
        <f>685</f>
        <v>685</v>
      </c>
      <c r="C61" s="3">
        <f>1440</f>
        <v>1440</v>
      </c>
      <c r="D61" s="4"/>
      <c r="E61" s="3">
        <f>430</f>
        <v>430</v>
      </c>
      <c r="F61" s="3">
        <v>0</v>
      </c>
      <c r="G61" s="3">
        <f t="shared" si="0"/>
        <v>2555</v>
      </c>
    </row>
    <row r="62" spans="1:7" x14ac:dyDescent="0.25">
      <c r="A62" s="5" t="s">
        <v>165</v>
      </c>
      <c r="B62" s="3">
        <f>6869.2</f>
        <v>6869.2</v>
      </c>
      <c r="C62" s="3">
        <f>4700</f>
        <v>4700</v>
      </c>
      <c r="D62" s="4"/>
      <c r="E62" s="3">
        <f>11990</f>
        <v>11990</v>
      </c>
      <c r="F62" s="3">
        <v>0</v>
      </c>
      <c r="G62" s="3">
        <f t="shared" si="0"/>
        <v>23559.200000000001</v>
      </c>
    </row>
    <row r="63" spans="1:7" x14ac:dyDescent="0.25">
      <c r="A63" s="5" t="s">
        <v>164</v>
      </c>
      <c r="B63" s="3">
        <f>29400</f>
        <v>29400</v>
      </c>
      <c r="C63" s="3">
        <f>50500</f>
        <v>50500</v>
      </c>
      <c r="D63" s="3">
        <f>23200</f>
        <v>23200</v>
      </c>
      <c r="E63" s="3">
        <f>100700</f>
        <v>100700</v>
      </c>
      <c r="F63" s="3">
        <v>49069.46</v>
      </c>
      <c r="G63" s="3">
        <f t="shared" si="0"/>
        <v>252869.46</v>
      </c>
    </row>
    <row r="64" spans="1:7" x14ac:dyDescent="0.25">
      <c r="A64" s="5" t="s">
        <v>163</v>
      </c>
      <c r="B64" s="3">
        <f>2064.1</f>
        <v>2064.1</v>
      </c>
      <c r="C64" s="3">
        <f>220</f>
        <v>220</v>
      </c>
      <c r="D64" s="3">
        <f>388.98</f>
        <v>388.98</v>
      </c>
      <c r="E64" s="3">
        <f>1940</f>
        <v>1940</v>
      </c>
      <c r="F64" s="3">
        <v>22909.85</v>
      </c>
      <c r="G64" s="3">
        <f t="shared" si="0"/>
        <v>27522.93</v>
      </c>
    </row>
    <row r="65" spans="1:7" x14ac:dyDescent="0.25">
      <c r="A65" s="5" t="s">
        <v>162</v>
      </c>
      <c r="B65" s="3">
        <f>27838.58</f>
        <v>27838.58</v>
      </c>
      <c r="C65" s="3">
        <f>19350</f>
        <v>19350</v>
      </c>
      <c r="D65" s="4"/>
      <c r="E65" s="3">
        <f>17400</f>
        <v>17400</v>
      </c>
      <c r="F65" s="3">
        <v>0</v>
      </c>
      <c r="G65" s="3">
        <f t="shared" si="0"/>
        <v>64588.58</v>
      </c>
    </row>
    <row r="66" spans="1:7" x14ac:dyDescent="0.25">
      <c r="A66" s="5" t="s">
        <v>161</v>
      </c>
      <c r="B66" s="4"/>
      <c r="C66" s="3">
        <f>340</f>
        <v>340</v>
      </c>
      <c r="D66" s="4"/>
      <c r="E66" s="4"/>
      <c r="F66" s="3">
        <v>0</v>
      </c>
      <c r="G66" s="3">
        <f t="shared" si="0"/>
        <v>340</v>
      </c>
    </row>
    <row r="67" spans="1:7" x14ac:dyDescent="0.25">
      <c r="A67" s="5" t="s">
        <v>160</v>
      </c>
      <c r="B67" s="3">
        <f>-24418.64</f>
        <v>-24418.639999999999</v>
      </c>
      <c r="C67" s="3">
        <f>-20321.78</f>
        <v>-20321.78</v>
      </c>
      <c r="D67" s="3">
        <f>-50</f>
        <v>-50</v>
      </c>
      <c r="E67" s="3">
        <f>-49630.88</f>
        <v>-49630.879999999997</v>
      </c>
      <c r="F67" s="3">
        <v>-28278.11</v>
      </c>
      <c r="G67" s="3">
        <f t="shared" si="0"/>
        <v>-122699.40999999999</v>
      </c>
    </row>
    <row r="68" spans="1:7" x14ac:dyDescent="0.25">
      <c r="A68" s="5" t="s">
        <v>159</v>
      </c>
      <c r="B68" s="6">
        <f>((((((((B59)+(B60))+(B61))+(B62))+(B63))+(B64))+(B65))+(B66))+(B67)</f>
        <v>43893.240000000005</v>
      </c>
      <c r="C68" s="6">
        <f>((((((((C59)+(C60))+(C61))+(C62))+(C63))+(C64))+(C65))+(C66))+(C67)</f>
        <v>57308.22</v>
      </c>
      <c r="D68" s="6">
        <f>((((((((D59)+(D60))+(D61))+(D62))+(D63))+(D64))+(D65))+(D66))+(D67)</f>
        <v>3388.98</v>
      </c>
      <c r="E68" s="6">
        <f>((((((((E59)+(E60))+(E61))+(E62))+(E63))+(E64))+(E65))+(E66))+(E67)</f>
        <v>108949.12</v>
      </c>
      <c r="F68" s="6">
        <f>SUM(F59:F67)</f>
        <v>43901.2</v>
      </c>
      <c r="G68" s="6">
        <f t="shared" si="0"/>
        <v>257440.76</v>
      </c>
    </row>
    <row r="69" spans="1:7" x14ac:dyDescent="0.25">
      <c r="A69" s="5" t="s">
        <v>158</v>
      </c>
      <c r="B69" s="4"/>
      <c r="C69" s="4"/>
      <c r="D69" s="4"/>
      <c r="E69" s="4"/>
      <c r="F69" s="3"/>
      <c r="G69" s="3">
        <f t="shared" si="0"/>
        <v>0</v>
      </c>
    </row>
    <row r="70" spans="1:7" x14ac:dyDescent="0.25">
      <c r="A70" s="5" t="s">
        <v>157</v>
      </c>
      <c r="B70" s="3">
        <f>8822</f>
        <v>8822</v>
      </c>
      <c r="C70" s="3">
        <f>20715</f>
        <v>20715</v>
      </c>
      <c r="D70" s="3">
        <f>9790</f>
        <v>9790</v>
      </c>
      <c r="E70" s="3">
        <f>4890</f>
        <v>4890</v>
      </c>
      <c r="F70" s="3">
        <v>58534.97</v>
      </c>
      <c r="G70" s="3">
        <f t="shared" si="0"/>
        <v>102751.97</v>
      </c>
    </row>
    <row r="71" spans="1:7" x14ac:dyDescent="0.25">
      <c r="A71" s="5" t="s">
        <v>156</v>
      </c>
      <c r="B71" s="3">
        <f>9800</f>
        <v>9800</v>
      </c>
      <c r="C71" s="3">
        <f>13070</f>
        <v>13070</v>
      </c>
      <c r="D71" s="3">
        <f>11260</f>
        <v>11260</v>
      </c>
      <c r="E71" s="3">
        <f>8725</f>
        <v>8725</v>
      </c>
      <c r="F71" s="3">
        <v>6900</v>
      </c>
      <c r="G71" s="3">
        <f t="shared" si="0"/>
        <v>49755</v>
      </c>
    </row>
    <row r="72" spans="1:7" x14ac:dyDescent="0.25">
      <c r="A72" s="5" t="s">
        <v>155</v>
      </c>
      <c r="B72" s="3">
        <f>11350</f>
        <v>11350</v>
      </c>
      <c r="C72" s="3">
        <f>16250</f>
        <v>16250</v>
      </c>
      <c r="D72" s="3">
        <f>13850</f>
        <v>13850</v>
      </c>
      <c r="E72" s="3">
        <f>9000</f>
        <v>9000</v>
      </c>
      <c r="F72" s="3">
        <v>20750</v>
      </c>
      <c r="G72" s="3">
        <f t="shared" si="0"/>
        <v>71200</v>
      </c>
    </row>
    <row r="73" spans="1:7" x14ac:dyDescent="0.25">
      <c r="A73" s="5" t="s">
        <v>154</v>
      </c>
      <c r="B73" s="3">
        <f>2920</f>
        <v>2920</v>
      </c>
      <c r="C73" s="3">
        <f>3825</f>
        <v>3825</v>
      </c>
      <c r="D73" s="3">
        <f>1765</f>
        <v>1765</v>
      </c>
      <c r="E73" s="4"/>
      <c r="F73" s="3">
        <v>0</v>
      </c>
      <c r="G73" s="3">
        <f t="shared" si="0"/>
        <v>8510</v>
      </c>
    </row>
    <row r="74" spans="1:7" x14ac:dyDescent="0.25">
      <c r="A74" s="5" t="s">
        <v>153</v>
      </c>
      <c r="B74" s="3">
        <f>1530</f>
        <v>1530</v>
      </c>
      <c r="C74" s="3">
        <f>3135</f>
        <v>3135</v>
      </c>
      <c r="D74" s="3">
        <f>3555</f>
        <v>3555</v>
      </c>
      <c r="E74" s="4"/>
      <c r="F74" s="3">
        <v>0</v>
      </c>
      <c r="G74" s="3">
        <f t="shared" ref="G74:G137" si="1">((((B74)+(C74))+(D74))+(E74))+(F74)</f>
        <v>8220</v>
      </c>
    </row>
    <row r="75" spans="1:7" x14ac:dyDescent="0.25">
      <c r="A75" s="5" t="s">
        <v>152</v>
      </c>
      <c r="B75" s="3">
        <f>14305</f>
        <v>14305</v>
      </c>
      <c r="C75" s="3">
        <f>10490</f>
        <v>10490</v>
      </c>
      <c r="D75" s="3">
        <f>19787</f>
        <v>19787</v>
      </c>
      <c r="E75" s="4"/>
      <c r="F75" s="3">
        <v>0</v>
      </c>
      <c r="G75" s="3">
        <f t="shared" si="1"/>
        <v>44582</v>
      </c>
    </row>
    <row r="76" spans="1:7" x14ac:dyDescent="0.25">
      <c r="A76" s="5" t="s">
        <v>151</v>
      </c>
      <c r="B76" s="3">
        <f>23695</f>
        <v>23695</v>
      </c>
      <c r="C76" s="3">
        <f>23595.87</f>
        <v>23595.87</v>
      </c>
      <c r="D76" s="3">
        <f>26530</f>
        <v>26530</v>
      </c>
      <c r="E76" s="3">
        <f>18555</f>
        <v>18555</v>
      </c>
      <c r="F76" s="3">
        <v>0</v>
      </c>
      <c r="G76" s="3">
        <f t="shared" si="1"/>
        <v>92375.87</v>
      </c>
    </row>
    <row r="77" spans="1:7" x14ac:dyDescent="0.25">
      <c r="A77" s="5" t="s">
        <v>150</v>
      </c>
      <c r="B77" s="6">
        <f>(((((((B69)+(B70))+(B71))+(B72))+(B73))+(B74))+(B75))+(B76)</f>
        <v>72422</v>
      </c>
      <c r="C77" s="6">
        <f>(((((((C69)+(C70))+(C71))+(C72))+(C73))+(C74))+(C75))+(C76)</f>
        <v>91080.87</v>
      </c>
      <c r="D77" s="6">
        <f>(((((((D69)+(D70))+(D71))+(D72))+(D73))+(D74))+(D75))+(D76)</f>
        <v>86537</v>
      </c>
      <c r="E77" s="6">
        <f>(((((((E69)+(E70))+(E71))+(E72))+(E73))+(E74))+(E75))+(E76)</f>
        <v>41170</v>
      </c>
      <c r="F77" s="6">
        <f>SUM(F69:F76)</f>
        <v>86184.97</v>
      </c>
      <c r="G77" s="6">
        <f t="shared" si="1"/>
        <v>377394.83999999997</v>
      </c>
    </row>
    <row r="78" spans="1:7" x14ac:dyDescent="0.25">
      <c r="A78" s="5" t="s">
        <v>149</v>
      </c>
      <c r="B78" s="4"/>
      <c r="C78" s="4"/>
      <c r="D78" s="3">
        <f>-3170</f>
        <v>-3170</v>
      </c>
      <c r="E78" s="4"/>
      <c r="F78" s="3">
        <v>1715</v>
      </c>
      <c r="G78" s="3">
        <f t="shared" si="1"/>
        <v>-1455</v>
      </c>
    </row>
    <row r="79" spans="1:7" x14ac:dyDescent="0.25">
      <c r="A79" s="5" t="s">
        <v>148</v>
      </c>
      <c r="B79" s="3">
        <f>29707.27</f>
        <v>29707.27</v>
      </c>
      <c r="C79" s="3">
        <f>33741.06</f>
        <v>33741.06</v>
      </c>
      <c r="D79" s="3">
        <f>31789.1</f>
        <v>31789.1</v>
      </c>
      <c r="E79" s="3">
        <f>38943.55</f>
        <v>38943.550000000003</v>
      </c>
      <c r="F79" s="3">
        <v>5000</v>
      </c>
      <c r="G79" s="3">
        <f t="shared" si="1"/>
        <v>139180.97999999998</v>
      </c>
    </row>
    <row r="80" spans="1:7" x14ac:dyDescent="0.25">
      <c r="A80" s="5" t="s">
        <v>147</v>
      </c>
      <c r="B80" s="6">
        <f>(B78)+(B79)</f>
        <v>29707.27</v>
      </c>
      <c r="C80" s="6">
        <f>(C78)+(C79)</f>
        <v>33741.06</v>
      </c>
      <c r="D80" s="6">
        <f>(D78)+(D79)</f>
        <v>28619.1</v>
      </c>
      <c r="E80" s="6">
        <f>(E78)+(E79)</f>
        <v>38943.550000000003</v>
      </c>
      <c r="F80" s="6">
        <f>SUM(F78:F79)</f>
        <v>6715</v>
      </c>
      <c r="G80" s="6">
        <f t="shared" si="1"/>
        <v>137725.97999999998</v>
      </c>
    </row>
    <row r="81" spans="1:9" x14ac:dyDescent="0.25">
      <c r="A81" s="5" t="s">
        <v>146</v>
      </c>
      <c r="B81" s="3">
        <f>1281</f>
        <v>1281</v>
      </c>
      <c r="C81" s="3">
        <f>2080.54</f>
        <v>2080.54</v>
      </c>
      <c r="D81" s="3">
        <f>989.79</f>
        <v>989.79</v>
      </c>
      <c r="E81" s="4"/>
      <c r="F81" s="3">
        <v>117.26</v>
      </c>
      <c r="G81" s="3">
        <f t="shared" si="1"/>
        <v>4468.59</v>
      </c>
    </row>
    <row r="82" spans="1:9" x14ac:dyDescent="0.25">
      <c r="A82" s="5" t="s">
        <v>145</v>
      </c>
      <c r="B82" s="3">
        <f>33341.77</f>
        <v>33341.769999999997</v>
      </c>
      <c r="C82" s="3">
        <f>46950.66</f>
        <v>46950.66</v>
      </c>
      <c r="D82" s="3">
        <f>29145.35</f>
        <v>29145.35</v>
      </c>
      <c r="E82" s="3">
        <f>26088.36</f>
        <v>26088.36</v>
      </c>
      <c r="F82" s="3">
        <v>42461.84</v>
      </c>
      <c r="G82" s="3">
        <f t="shared" si="1"/>
        <v>177987.98</v>
      </c>
    </row>
    <row r="83" spans="1:9" x14ac:dyDescent="0.25">
      <c r="A83" s="5" t="s">
        <v>144</v>
      </c>
      <c r="B83" s="3">
        <f>5445</f>
        <v>5445</v>
      </c>
      <c r="C83" s="3">
        <f>11149.14</f>
        <v>11149.14</v>
      </c>
      <c r="D83" s="3">
        <f>10736.59</f>
        <v>10736.59</v>
      </c>
      <c r="E83" s="3">
        <f>7369.92</f>
        <v>7369.92</v>
      </c>
      <c r="F83" s="3">
        <v>0</v>
      </c>
      <c r="G83" s="3">
        <f t="shared" si="1"/>
        <v>34700.65</v>
      </c>
    </row>
    <row r="84" spans="1:9" x14ac:dyDescent="0.25">
      <c r="A84" s="5" t="s">
        <v>143</v>
      </c>
      <c r="B84" s="4"/>
      <c r="C84" s="3">
        <f>60492</f>
        <v>60492</v>
      </c>
      <c r="D84" s="4"/>
      <c r="E84" s="4"/>
      <c r="F84" s="3">
        <v>0</v>
      </c>
      <c r="G84" s="3">
        <f t="shared" si="1"/>
        <v>60492</v>
      </c>
    </row>
    <row r="85" spans="1:9" x14ac:dyDescent="0.25">
      <c r="A85" s="5" t="s">
        <v>142</v>
      </c>
      <c r="B85" s="3">
        <f>0</f>
        <v>0</v>
      </c>
      <c r="C85" s="3">
        <f>0</f>
        <v>0</v>
      </c>
      <c r="D85" s="3">
        <f>420</f>
        <v>420</v>
      </c>
      <c r="E85" s="3">
        <f>0</f>
        <v>0</v>
      </c>
      <c r="F85" s="3">
        <v>0</v>
      </c>
      <c r="G85" s="3">
        <f t="shared" si="1"/>
        <v>420</v>
      </c>
    </row>
    <row r="86" spans="1:9" x14ac:dyDescent="0.25">
      <c r="A86" s="5" t="s">
        <v>141</v>
      </c>
      <c r="B86" s="3">
        <f>1220</f>
        <v>1220</v>
      </c>
      <c r="C86" s="3">
        <f>0</f>
        <v>0</v>
      </c>
      <c r="D86" s="3">
        <f>0</f>
        <v>0</v>
      </c>
      <c r="E86" s="3">
        <f>0</f>
        <v>0</v>
      </c>
      <c r="F86" s="3">
        <v>0</v>
      </c>
      <c r="G86" s="3">
        <f t="shared" si="1"/>
        <v>1220</v>
      </c>
    </row>
    <row r="87" spans="1:9" x14ac:dyDescent="0.25">
      <c r="A87" s="5" t="s">
        <v>140</v>
      </c>
      <c r="B87" s="3">
        <f>0</f>
        <v>0</v>
      </c>
      <c r="C87" s="4"/>
      <c r="D87" s="4"/>
      <c r="E87" s="4"/>
      <c r="F87" s="4">
        <v>0</v>
      </c>
      <c r="G87" s="4">
        <f t="shared" si="1"/>
        <v>0</v>
      </c>
    </row>
    <row r="88" spans="1:9" x14ac:dyDescent="0.25">
      <c r="A88" s="5" t="s">
        <v>139</v>
      </c>
      <c r="B88" s="6">
        <f>(((((((((((((((((((((((((((((((((((((((((((((B7)+(B8))+(B9))+(B10))+(B11))+(B12))+(B13))+(B22))+(B23))+(B24))+(B25))+(B26))+(B27))+(B28))+(B29))+(B30))+(B31))+(B32))+(B33))+(B34))+(B35))+(B36))+(B37))+(B38))+(B39))+(B40))+(B41))+(B42))+(B43))+(B44))+(B45))+(B46))+(B47))+(B48))+(B49))+(B58))+(B68))+(B77))+(B80))+(B81))+(B82))+(B83))+(B84))+(B85))+(B86))+(B87)</f>
        <v>888038.15</v>
      </c>
      <c r="C88" s="6">
        <f>(((((((((((((((((((((((((((((((((((((((((((((C7)+(C8))+(C9))+(C10))+(C11))+(C12))+(C13))+(C22))+(C23))+(C24))+(C25))+(C26))+(C27))+(C28))+(C29))+(C30))+(C31))+(C32))+(C33))+(C34))+(C35))+(C36))+(C37))+(C38))+(C39))+(C40))+(C41))+(C42))+(C43))+(C44))+(C45))+(C46))+(C47))+(C48))+(C49))+(C58))+(C68))+(C77))+(C80))+(C81))+(C82))+(C83))+(C84))+(C85))+(C86))+(C87)</f>
        <v>1037740.8599999999</v>
      </c>
      <c r="D88" s="6">
        <f>(((((((((((((((((((((((((((((((((((((((((((((D7)+(D8))+(D9))+(D10))+(D11))+(D12))+(D13))+(D22))+(D23))+(D24))+(D25))+(D26))+(D27))+(D28))+(D29))+(D30))+(D31))+(D32))+(D33))+(D34))+(D35))+(D36))+(D37))+(D38))+(D39))+(D40))+(D41))+(D42))+(D43))+(D44))+(D45))+(D46))+(D47))+(D48))+(D49))+(D58))+(D68))+(D77))+(D80))+(D81))+(D82))+(D83))+(D84))+(D85))+(D86))+(D87)</f>
        <v>1018695.3499999999</v>
      </c>
      <c r="E88" s="6">
        <f>(((((((((((((((((((((((((((((((((((((((((((((E7)+(E8))+(E9))+(E10))+(E11))+(E12))+(E13))+(E22))+(E23))+(E24))+(E25))+(E26))+(E27))+(E28))+(E29))+(E30))+(E31))+(E32))+(E33))+(E34))+(E35))+(E36))+(E37))+(E38))+(E39))+(E40))+(E41))+(E42))+(E43))+(E44))+(E45))+(E46))+(E47))+(E48))+(E49))+(E58))+(E68))+(E77))+(E80))+(E81))+(E82))+(E83))+(E84))+(E85))+(E86))+(E87)</f>
        <v>1431067.8900000001</v>
      </c>
      <c r="F88" s="6">
        <f>SUM(F7:F13)+F14+SUM(F23:F49)+F58+F68+F77+F80+SUM(F81:F87)</f>
        <v>1467356.5499999998</v>
      </c>
      <c r="G88" s="6">
        <f t="shared" si="1"/>
        <v>5842898.7999999998</v>
      </c>
    </row>
    <row r="89" spans="1:9" x14ac:dyDescent="0.25">
      <c r="A89" s="5" t="s">
        <v>138</v>
      </c>
      <c r="B89" s="4"/>
      <c r="C89" s="4"/>
      <c r="D89" s="4"/>
      <c r="E89" s="4"/>
      <c r="F89" s="3"/>
      <c r="G89" s="3">
        <f t="shared" si="1"/>
        <v>0</v>
      </c>
    </row>
    <row r="90" spans="1:9" x14ac:dyDescent="0.25">
      <c r="A90" s="5" t="s">
        <v>137</v>
      </c>
      <c r="B90" s="3">
        <f>16736.05</f>
        <v>16736.05</v>
      </c>
      <c r="C90" s="3">
        <f>20088.82</f>
        <v>20088.82</v>
      </c>
      <c r="D90" s="3">
        <f>16918.58</f>
        <v>16918.580000000002</v>
      </c>
      <c r="E90" s="3">
        <f>24268.5</f>
        <v>24268.5</v>
      </c>
      <c r="F90" s="3">
        <v>10147.58</v>
      </c>
      <c r="G90" s="3">
        <f t="shared" si="1"/>
        <v>88159.53</v>
      </c>
    </row>
    <row r="91" spans="1:9" x14ac:dyDescent="0.25">
      <c r="A91" s="5" t="s">
        <v>136</v>
      </c>
      <c r="B91" s="3">
        <f>20629.23</f>
        <v>20629.23</v>
      </c>
      <c r="C91" s="3">
        <f>20482.28</f>
        <v>20482.28</v>
      </c>
      <c r="D91" s="3">
        <f>22518.37</f>
        <v>22518.37</v>
      </c>
      <c r="E91" s="3">
        <f>1693.68</f>
        <v>1693.68</v>
      </c>
      <c r="F91" s="3">
        <v>19565</v>
      </c>
      <c r="G91" s="3">
        <f t="shared" si="1"/>
        <v>84888.56</v>
      </c>
    </row>
    <row r="92" spans="1:9" x14ac:dyDescent="0.25">
      <c r="A92" s="5" t="s">
        <v>135</v>
      </c>
      <c r="B92" s="3">
        <f>4938.84</f>
        <v>4938.84</v>
      </c>
      <c r="C92" s="3">
        <f>5736.38</f>
        <v>5736.38</v>
      </c>
      <c r="D92" s="3">
        <f>3700.83</f>
        <v>3700.83</v>
      </c>
      <c r="E92" s="3">
        <f>6346.03</f>
        <v>6346.03</v>
      </c>
      <c r="F92" s="3">
        <v>9395.48</v>
      </c>
      <c r="G92" s="3">
        <f t="shared" si="1"/>
        <v>30117.56</v>
      </c>
    </row>
    <row r="93" spans="1:9" x14ac:dyDescent="0.25">
      <c r="A93" s="5" t="s">
        <v>134</v>
      </c>
      <c r="B93" s="6">
        <f>((B90)+(B91))+(B92)</f>
        <v>42304.119999999995</v>
      </c>
      <c r="C93" s="6">
        <f>((C90)+(C91))+(C92)</f>
        <v>46307.479999999996</v>
      </c>
      <c r="D93" s="6">
        <f>((D90)+(D91))+(D92)</f>
        <v>43137.78</v>
      </c>
      <c r="E93" s="6">
        <f>((E90)+(E91))+(E92)</f>
        <v>32308.21</v>
      </c>
      <c r="F93" s="6">
        <f>SUM(F90:F92)</f>
        <v>39108.06</v>
      </c>
      <c r="G93" s="6">
        <f t="shared" si="1"/>
        <v>203165.65</v>
      </c>
    </row>
    <row r="94" spans="1:9" x14ac:dyDescent="0.25">
      <c r="A94" s="5" t="s">
        <v>133</v>
      </c>
      <c r="B94" s="6">
        <f>(B88)-(B93)</f>
        <v>845734.03</v>
      </c>
      <c r="C94" s="6">
        <f>(C88)-(C93)</f>
        <v>991433.37999999989</v>
      </c>
      <c r="D94" s="6">
        <f>(D88)-(D93)</f>
        <v>975557.56999999983</v>
      </c>
      <c r="E94" s="6">
        <f>(E88)-(E93)</f>
        <v>1398759.6800000002</v>
      </c>
      <c r="F94" s="6">
        <f>F88-F93</f>
        <v>1428248.4899999998</v>
      </c>
      <c r="G94" s="6">
        <f t="shared" si="1"/>
        <v>5639733.1500000004</v>
      </c>
    </row>
    <row r="95" spans="1:9" x14ac:dyDescent="0.25">
      <c r="A95" s="5" t="s">
        <v>132</v>
      </c>
      <c r="B95" s="4"/>
      <c r="C95" s="4"/>
      <c r="D95" s="4"/>
      <c r="E95" s="4"/>
      <c r="F95" s="3"/>
      <c r="G95" s="3">
        <f t="shared" si="1"/>
        <v>0</v>
      </c>
      <c r="I95" s="9"/>
    </row>
    <row r="96" spans="1:9" x14ac:dyDescent="0.25">
      <c r="A96" s="5" t="s">
        <v>131</v>
      </c>
      <c r="B96" s="3">
        <f>7621.91</f>
        <v>7621.91</v>
      </c>
      <c r="C96" s="3">
        <f>2581.43</f>
        <v>2581.4299999999998</v>
      </c>
      <c r="D96" s="3">
        <f>1404.05</f>
        <v>1404.05</v>
      </c>
      <c r="E96" s="3">
        <f>2366.17</f>
        <v>2366.17</v>
      </c>
      <c r="F96" s="3">
        <v>575.01</v>
      </c>
      <c r="G96" s="3">
        <f t="shared" si="1"/>
        <v>14548.57</v>
      </c>
    </row>
    <row r="97" spans="1:7" x14ac:dyDescent="0.25">
      <c r="A97" s="5" t="s">
        <v>130</v>
      </c>
      <c r="B97" s="3">
        <f>854</f>
        <v>854</v>
      </c>
      <c r="C97" s="3">
        <f>854</f>
        <v>854</v>
      </c>
      <c r="D97" s="3">
        <f>854</f>
        <v>854</v>
      </c>
      <c r="E97" s="3">
        <f>1297.2</f>
        <v>1297.2</v>
      </c>
      <c r="F97" s="3">
        <v>2386.1999999999998</v>
      </c>
      <c r="G97" s="3">
        <f t="shared" si="1"/>
        <v>6245.4</v>
      </c>
    </row>
    <row r="98" spans="1:7" x14ac:dyDescent="0.25">
      <c r="A98" s="5" t="s">
        <v>129</v>
      </c>
      <c r="B98" s="3">
        <f>12749</f>
        <v>12749</v>
      </c>
      <c r="C98" s="3">
        <f>9780</f>
        <v>9780</v>
      </c>
      <c r="D98" s="4"/>
      <c r="E98" s="4"/>
      <c r="F98" s="4">
        <v>0</v>
      </c>
      <c r="G98" s="4">
        <f t="shared" si="1"/>
        <v>22529</v>
      </c>
    </row>
    <row r="99" spans="1:7" x14ac:dyDescent="0.25">
      <c r="A99" s="5" t="s">
        <v>128</v>
      </c>
      <c r="B99" s="3">
        <f>4980.86</f>
        <v>4980.8599999999997</v>
      </c>
      <c r="C99" s="3">
        <f>7611.22</f>
        <v>7611.22</v>
      </c>
      <c r="D99" s="3">
        <f>7749.14</f>
        <v>7749.14</v>
      </c>
      <c r="E99" s="3">
        <f>655.67</f>
        <v>655.67</v>
      </c>
      <c r="F99" s="3">
        <v>1646.94</v>
      </c>
      <c r="G99" s="3">
        <f t="shared" si="1"/>
        <v>22643.829999999998</v>
      </c>
    </row>
    <row r="100" spans="1:7" x14ac:dyDescent="0.25">
      <c r="A100" s="5" t="s">
        <v>127</v>
      </c>
      <c r="B100" s="3">
        <f>634</f>
        <v>634</v>
      </c>
      <c r="C100" s="3">
        <f>800</f>
        <v>800</v>
      </c>
      <c r="D100" s="3">
        <f>1200.32</f>
        <v>1200.32</v>
      </c>
      <c r="E100" s="3">
        <f>6715.03</f>
        <v>6715.03</v>
      </c>
      <c r="F100" s="3">
        <v>476.89</v>
      </c>
      <c r="G100" s="3">
        <f t="shared" si="1"/>
        <v>9826.239999999998</v>
      </c>
    </row>
    <row r="101" spans="1:7" x14ac:dyDescent="0.25">
      <c r="A101" s="5" t="s">
        <v>126</v>
      </c>
      <c r="B101" s="3">
        <f>1648.84</f>
        <v>1648.84</v>
      </c>
      <c r="C101" s="3">
        <f>1682.15</f>
        <v>1682.15</v>
      </c>
      <c r="D101" s="3">
        <f>1118</f>
        <v>1118</v>
      </c>
      <c r="E101" s="3">
        <f>1474.6</f>
        <v>1474.6</v>
      </c>
      <c r="F101" s="3">
        <v>14604.5</v>
      </c>
      <c r="G101" s="3">
        <f t="shared" si="1"/>
        <v>20528.09</v>
      </c>
    </row>
    <row r="102" spans="1:7" x14ac:dyDescent="0.25">
      <c r="A102" s="5" t="s">
        <v>125</v>
      </c>
      <c r="B102" s="3">
        <f>809.46</f>
        <v>809.46</v>
      </c>
      <c r="C102" s="3">
        <f>651.04</f>
        <v>651.04</v>
      </c>
      <c r="D102" s="3">
        <f>647.84</f>
        <v>647.84</v>
      </c>
      <c r="E102" s="3">
        <f>796.94</f>
        <v>796.94</v>
      </c>
      <c r="F102" s="3">
        <v>900.02</v>
      </c>
      <c r="G102" s="3">
        <f t="shared" si="1"/>
        <v>3805.3</v>
      </c>
    </row>
    <row r="103" spans="1:7" x14ac:dyDescent="0.25">
      <c r="A103" s="5" t="s">
        <v>124</v>
      </c>
      <c r="B103" s="3">
        <f>2236.07</f>
        <v>2236.0700000000002</v>
      </c>
      <c r="C103" s="3">
        <f>3993.36</f>
        <v>3993.36</v>
      </c>
      <c r="D103" s="3">
        <f>2757.75</f>
        <v>2757.75</v>
      </c>
      <c r="E103" s="3">
        <f>2901.05</f>
        <v>2901.05</v>
      </c>
      <c r="F103" s="3">
        <v>2196.85</v>
      </c>
      <c r="G103" s="3">
        <f t="shared" si="1"/>
        <v>14085.08</v>
      </c>
    </row>
    <row r="104" spans="1:7" x14ac:dyDescent="0.25">
      <c r="A104" s="5" t="s">
        <v>123</v>
      </c>
      <c r="B104" s="3">
        <f>4145.32</f>
        <v>4145.32</v>
      </c>
      <c r="C104" s="3">
        <f>3979.06</f>
        <v>3979.06</v>
      </c>
      <c r="D104" s="3">
        <f>3896</f>
        <v>3896</v>
      </c>
      <c r="E104" s="3">
        <f>3592.87</f>
        <v>3592.87</v>
      </c>
      <c r="F104" s="3">
        <v>1798.38</v>
      </c>
      <c r="G104" s="3">
        <f t="shared" si="1"/>
        <v>17411.63</v>
      </c>
    </row>
    <row r="105" spans="1:7" x14ac:dyDescent="0.25">
      <c r="A105" s="5" t="s">
        <v>122</v>
      </c>
      <c r="B105" s="3">
        <f>3522.55</f>
        <v>3522.55</v>
      </c>
      <c r="C105" s="3">
        <f>4060.91</f>
        <v>4060.91</v>
      </c>
      <c r="D105" s="3">
        <f>4300.81</f>
        <v>4300.8100000000004</v>
      </c>
      <c r="E105" s="3">
        <f>4425.58</f>
        <v>4425.58</v>
      </c>
      <c r="F105" s="3">
        <v>7905.13</v>
      </c>
      <c r="G105" s="3">
        <f t="shared" si="1"/>
        <v>24214.98</v>
      </c>
    </row>
    <row r="106" spans="1:7" x14ac:dyDescent="0.25">
      <c r="A106" s="5" t="s">
        <v>121</v>
      </c>
      <c r="B106" s="3">
        <f>4914.71</f>
        <v>4914.71</v>
      </c>
      <c r="C106" s="3">
        <f>3725.04</f>
        <v>3725.04</v>
      </c>
      <c r="D106" s="3">
        <f>4892.62</f>
        <v>4892.62</v>
      </c>
      <c r="E106" s="3">
        <f>4296.66</f>
        <v>4296.66</v>
      </c>
      <c r="F106" s="3">
        <v>7912.01</v>
      </c>
      <c r="G106" s="3">
        <f t="shared" si="1"/>
        <v>25741.040000000001</v>
      </c>
    </row>
    <row r="107" spans="1:7" x14ac:dyDescent="0.25">
      <c r="A107" s="5" t="s">
        <v>120</v>
      </c>
      <c r="B107" s="3">
        <f>1076.09</f>
        <v>1076.0899999999999</v>
      </c>
      <c r="C107" s="3">
        <f>1280.68</f>
        <v>1280.68</v>
      </c>
      <c r="D107" s="3">
        <f>1345.76</f>
        <v>1345.76</v>
      </c>
      <c r="E107" s="3">
        <f>621.09</f>
        <v>621.09</v>
      </c>
      <c r="F107" s="3">
        <v>1812.46</v>
      </c>
      <c r="G107" s="3">
        <f t="shared" si="1"/>
        <v>6136.08</v>
      </c>
    </row>
    <row r="108" spans="1:7" x14ac:dyDescent="0.25">
      <c r="A108" s="5" t="s">
        <v>119</v>
      </c>
      <c r="B108" s="3">
        <f>384.83</f>
        <v>384.83</v>
      </c>
      <c r="C108" s="3">
        <f>565.91</f>
        <v>565.91</v>
      </c>
      <c r="D108" s="3">
        <f>791.36</f>
        <v>791.36</v>
      </c>
      <c r="E108" s="3">
        <f>447.55</f>
        <v>447.55</v>
      </c>
      <c r="F108" s="3">
        <v>800.65</v>
      </c>
      <c r="G108" s="3">
        <f t="shared" si="1"/>
        <v>2990.3</v>
      </c>
    </row>
    <row r="109" spans="1:7" x14ac:dyDescent="0.25">
      <c r="A109" s="5" t="s">
        <v>118</v>
      </c>
      <c r="B109" s="3">
        <f>3774.67</f>
        <v>3774.67</v>
      </c>
      <c r="C109" s="3">
        <f>5579.67</f>
        <v>5579.67</v>
      </c>
      <c r="D109" s="3">
        <f>6055.5</f>
        <v>6055.5</v>
      </c>
      <c r="E109" s="3">
        <f>5349.81</f>
        <v>5349.81</v>
      </c>
      <c r="F109" s="3">
        <v>9419.24</v>
      </c>
      <c r="G109" s="3">
        <f t="shared" si="1"/>
        <v>30178.89</v>
      </c>
    </row>
    <row r="110" spans="1:7" x14ac:dyDescent="0.25">
      <c r="A110" s="5" t="s">
        <v>117</v>
      </c>
      <c r="B110" s="3">
        <f>3881.84</f>
        <v>3881.84</v>
      </c>
      <c r="C110" s="3">
        <f>3929.68</f>
        <v>3929.68</v>
      </c>
      <c r="D110" s="3">
        <f>8545.32</f>
        <v>8545.32</v>
      </c>
      <c r="E110" s="3">
        <f>3696.54</f>
        <v>3696.54</v>
      </c>
      <c r="F110" s="3">
        <v>8002.74</v>
      </c>
      <c r="G110" s="3">
        <f t="shared" si="1"/>
        <v>28056.120000000003</v>
      </c>
    </row>
    <row r="111" spans="1:7" x14ac:dyDescent="0.25">
      <c r="A111" s="5" t="s">
        <v>116</v>
      </c>
      <c r="B111" s="3">
        <f>2358.18</f>
        <v>2358.1799999999998</v>
      </c>
      <c r="C111" s="3">
        <f>124.92</f>
        <v>124.92</v>
      </c>
      <c r="D111" s="3">
        <f>11500</f>
        <v>11500</v>
      </c>
      <c r="E111" s="3">
        <f>25773.92</f>
        <v>25773.919999999998</v>
      </c>
      <c r="F111" s="3">
        <v>3895.64</v>
      </c>
      <c r="G111" s="3">
        <f t="shared" si="1"/>
        <v>43652.659999999996</v>
      </c>
    </row>
    <row r="112" spans="1:7" x14ac:dyDescent="0.25">
      <c r="A112" s="5" t="s">
        <v>115</v>
      </c>
      <c r="B112" s="3">
        <f>4240.58</f>
        <v>4240.58</v>
      </c>
      <c r="C112" s="3">
        <f>272</f>
        <v>272</v>
      </c>
      <c r="D112" s="3">
        <f>3264</f>
        <v>3264</v>
      </c>
      <c r="E112" s="3">
        <f>3264</f>
        <v>3264</v>
      </c>
      <c r="F112" s="3">
        <v>8306.84</v>
      </c>
      <c r="G112" s="3">
        <f t="shared" si="1"/>
        <v>19347.419999999998</v>
      </c>
    </row>
    <row r="113" spans="1:7" x14ac:dyDescent="0.25">
      <c r="A113" s="5" t="s">
        <v>114</v>
      </c>
      <c r="B113" s="3">
        <f>715</f>
        <v>715</v>
      </c>
      <c r="C113" s="3">
        <f>766.93</f>
        <v>766.93</v>
      </c>
      <c r="D113" s="3">
        <f>729.51</f>
        <v>729.51</v>
      </c>
      <c r="E113" s="3">
        <f>320</f>
        <v>320</v>
      </c>
      <c r="F113" s="3">
        <v>0</v>
      </c>
      <c r="G113" s="3">
        <f t="shared" si="1"/>
        <v>2531.4399999999996</v>
      </c>
    </row>
    <row r="114" spans="1:7" x14ac:dyDescent="0.25">
      <c r="A114" s="5" t="s">
        <v>113</v>
      </c>
      <c r="B114" s="3">
        <f>19425</f>
        <v>19425</v>
      </c>
      <c r="C114" s="3">
        <f>19425</f>
        <v>19425</v>
      </c>
      <c r="D114" s="3">
        <f>19805</f>
        <v>19805</v>
      </c>
      <c r="E114" s="3">
        <f>20195</f>
        <v>20195</v>
      </c>
      <c r="F114" s="3">
        <v>27570</v>
      </c>
      <c r="G114" s="3">
        <f t="shared" si="1"/>
        <v>106420</v>
      </c>
    </row>
    <row r="115" spans="1:7" x14ac:dyDescent="0.25">
      <c r="A115" s="5" t="s">
        <v>112</v>
      </c>
      <c r="B115" s="4"/>
      <c r="C115" s="4"/>
      <c r="D115" s="3">
        <f>385</f>
        <v>385</v>
      </c>
      <c r="E115" s="3">
        <f>693</f>
        <v>693</v>
      </c>
      <c r="F115" s="3">
        <v>21078</v>
      </c>
      <c r="G115" s="3">
        <f t="shared" si="1"/>
        <v>22156</v>
      </c>
    </row>
    <row r="116" spans="1:7" x14ac:dyDescent="0.25">
      <c r="A116" s="5" t="s">
        <v>111</v>
      </c>
      <c r="B116" s="3">
        <f>250</f>
        <v>250</v>
      </c>
      <c r="C116" s="3">
        <f>250</f>
        <v>250</v>
      </c>
      <c r="D116" s="3">
        <f>450</f>
        <v>450</v>
      </c>
      <c r="E116" s="3">
        <f>250</f>
        <v>250</v>
      </c>
      <c r="F116" s="3">
        <v>290</v>
      </c>
      <c r="G116" s="3">
        <f t="shared" si="1"/>
        <v>1490</v>
      </c>
    </row>
    <row r="117" spans="1:7" x14ac:dyDescent="0.25">
      <c r="A117" s="5" t="s">
        <v>110</v>
      </c>
      <c r="B117" s="3">
        <f>90</f>
        <v>90</v>
      </c>
      <c r="C117" s="3">
        <f>68</f>
        <v>68</v>
      </c>
      <c r="D117" s="3">
        <f>-5</f>
        <v>-5</v>
      </c>
      <c r="E117" s="3">
        <f>-139.78</f>
        <v>-139.78</v>
      </c>
      <c r="F117" s="3">
        <v>-139.69</v>
      </c>
      <c r="G117" s="3">
        <f t="shared" si="1"/>
        <v>-126.47</v>
      </c>
    </row>
    <row r="118" spans="1:7" x14ac:dyDescent="0.25">
      <c r="A118" s="5" t="s">
        <v>109</v>
      </c>
      <c r="B118" s="3">
        <f>3943.82</f>
        <v>3943.82</v>
      </c>
      <c r="C118" s="3">
        <f>3260.42</f>
        <v>3260.42</v>
      </c>
      <c r="D118" s="3">
        <f>3904.37</f>
        <v>3904.37</v>
      </c>
      <c r="E118" s="3">
        <f>4325.04</f>
        <v>4325.04</v>
      </c>
      <c r="F118" s="3">
        <v>2439.66</v>
      </c>
      <c r="G118" s="3">
        <f t="shared" si="1"/>
        <v>17873.310000000001</v>
      </c>
    </row>
    <row r="119" spans="1:7" x14ac:dyDescent="0.25">
      <c r="A119" s="5" t="s">
        <v>108</v>
      </c>
      <c r="B119" s="3">
        <f>761.83</f>
        <v>761.83</v>
      </c>
      <c r="C119" s="3">
        <f>432.63</f>
        <v>432.63</v>
      </c>
      <c r="D119" s="3">
        <f>912.16</f>
        <v>912.16</v>
      </c>
      <c r="E119" s="3">
        <f>3069.25</f>
        <v>3069.25</v>
      </c>
      <c r="F119" s="3">
        <v>5211.1000000000004</v>
      </c>
      <c r="G119" s="3">
        <f t="shared" si="1"/>
        <v>10386.970000000001</v>
      </c>
    </row>
    <row r="120" spans="1:7" x14ac:dyDescent="0.25">
      <c r="A120" s="5" t="s">
        <v>107</v>
      </c>
      <c r="B120" s="3">
        <f>11087.92</f>
        <v>11087.92</v>
      </c>
      <c r="C120" s="3">
        <f>4649</f>
        <v>4649</v>
      </c>
      <c r="D120" s="3">
        <f>4729</f>
        <v>4729</v>
      </c>
      <c r="E120" s="3">
        <f>2000</f>
        <v>2000</v>
      </c>
      <c r="F120" s="3">
        <v>4390</v>
      </c>
      <c r="G120" s="3">
        <f t="shared" si="1"/>
        <v>26855.919999999998</v>
      </c>
    </row>
    <row r="121" spans="1:7" x14ac:dyDescent="0.25">
      <c r="A121" s="5" t="s">
        <v>106</v>
      </c>
      <c r="B121" s="3">
        <f>18396</f>
        <v>18396</v>
      </c>
      <c r="C121" s="3">
        <f>16896</f>
        <v>16896</v>
      </c>
      <c r="D121" s="3">
        <f>18332</f>
        <v>18332</v>
      </c>
      <c r="E121" s="3">
        <f>15812</f>
        <v>15812</v>
      </c>
      <c r="F121" s="3">
        <v>26283.360000000001</v>
      </c>
      <c r="G121" s="3">
        <f t="shared" si="1"/>
        <v>95719.360000000001</v>
      </c>
    </row>
    <row r="122" spans="1:7" x14ac:dyDescent="0.25">
      <c r="A122" s="5" t="s">
        <v>105</v>
      </c>
      <c r="B122" s="3">
        <f>14190.7</f>
        <v>14190.7</v>
      </c>
      <c r="C122" s="3">
        <f>14502</f>
        <v>14502</v>
      </c>
      <c r="D122" s="3">
        <f>14985</f>
        <v>14985</v>
      </c>
      <c r="E122" s="3">
        <f>15081.69</f>
        <v>15081.69</v>
      </c>
      <c r="F122" s="3">
        <v>22697.71</v>
      </c>
      <c r="G122" s="3">
        <f t="shared" si="1"/>
        <v>81457.100000000006</v>
      </c>
    </row>
    <row r="123" spans="1:7" x14ac:dyDescent="0.25">
      <c r="A123" s="5" t="s">
        <v>104</v>
      </c>
      <c r="B123" s="4"/>
      <c r="C123" s="4"/>
      <c r="D123" s="4"/>
      <c r="E123" s="4"/>
      <c r="F123" s="4">
        <v>16694</v>
      </c>
      <c r="G123" s="4">
        <f t="shared" si="1"/>
        <v>16694</v>
      </c>
    </row>
    <row r="124" spans="1:7" x14ac:dyDescent="0.25">
      <c r="A124" s="5" t="s">
        <v>103</v>
      </c>
      <c r="B124" s="3">
        <f>4095</f>
        <v>4095</v>
      </c>
      <c r="C124" s="4"/>
      <c r="D124" s="4"/>
      <c r="E124" s="4"/>
      <c r="F124" s="4">
        <v>6315</v>
      </c>
      <c r="G124" s="4">
        <f t="shared" si="1"/>
        <v>10410</v>
      </c>
    </row>
    <row r="125" spans="1:7" x14ac:dyDescent="0.25">
      <c r="A125" s="5" t="s">
        <v>102</v>
      </c>
      <c r="B125" s="3">
        <f>203.19</f>
        <v>203.19</v>
      </c>
      <c r="C125" s="3">
        <f>802.19</f>
        <v>802.19</v>
      </c>
      <c r="D125" s="3">
        <f>275.61</f>
        <v>275.61</v>
      </c>
      <c r="E125" s="3">
        <f>224.78</f>
        <v>224.78</v>
      </c>
      <c r="F125" s="3">
        <v>335.42</v>
      </c>
      <c r="G125" s="3">
        <f t="shared" si="1"/>
        <v>1841.1900000000003</v>
      </c>
    </row>
    <row r="126" spans="1:7" x14ac:dyDescent="0.25">
      <c r="A126" s="5" t="s">
        <v>101</v>
      </c>
      <c r="B126" s="3">
        <f>23476.8</f>
        <v>23476.799999999999</v>
      </c>
      <c r="C126" s="3">
        <f>19214.16</f>
        <v>19214.16</v>
      </c>
      <c r="D126" s="3">
        <f>16084.07</f>
        <v>16084.07</v>
      </c>
      <c r="E126" s="3">
        <f>16122.48</f>
        <v>16122.48</v>
      </c>
      <c r="F126" s="3">
        <v>19464.29</v>
      </c>
      <c r="G126" s="3">
        <f t="shared" si="1"/>
        <v>94361.799999999988</v>
      </c>
    </row>
    <row r="127" spans="1:7" x14ac:dyDescent="0.25">
      <c r="A127" s="5" t="s">
        <v>100</v>
      </c>
      <c r="B127" s="3">
        <f>874.03</f>
        <v>874.03</v>
      </c>
      <c r="C127" s="3">
        <f>770</f>
        <v>770</v>
      </c>
      <c r="D127" s="3">
        <f>668.22</f>
        <v>668.22</v>
      </c>
      <c r="E127" s="3">
        <f>1016.22</f>
        <v>1016.22</v>
      </c>
      <c r="F127" s="3">
        <v>896.22</v>
      </c>
      <c r="G127" s="3">
        <f t="shared" si="1"/>
        <v>4224.6900000000005</v>
      </c>
    </row>
    <row r="128" spans="1:7" x14ac:dyDescent="0.25">
      <c r="A128" s="5" t="s">
        <v>99</v>
      </c>
      <c r="B128" s="3">
        <f>11535.75</f>
        <v>11535.75</v>
      </c>
      <c r="C128" s="3">
        <f>15071.6</f>
        <v>15071.6</v>
      </c>
      <c r="D128" s="3">
        <f>21672</f>
        <v>21672</v>
      </c>
      <c r="E128" s="3">
        <f>26459.35</f>
        <v>26459.35</v>
      </c>
      <c r="F128" s="3">
        <v>11413.39</v>
      </c>
      <c r="G128" s="3">
        <f t="shared" si="1"/>
        <v>86152.09</v>
      </c>
    </row>
    <row r="129" spans="1:7" x14ac:dyDescent="0.25">
      <c r="A129" s="5" t="s">
        <v>98</v>
      </c>
      <c r="B129" s="3">
        <f>11700</f>
        <v>11700</v>
      </c>
      <c r="C129" s="3">
        <f>12700</f>
        <v>12700</v>
      </c>
      <c r="D129" s="3">
        <f>21264.9</f>
        <v>21264.9</v>
      </c>
      <c r="E129" s="3">
        <f>14341</f>
        <v>14341</v>
      </c>
      <c r="F129" s="3">
        <v>19545.21</v>
      </c>
      <c r="G129" s="3">
        <f>((((B129)+(C129))+(D129))+(E129))+(F129)</f>
        <v>79551.11</v>
      </c>
    </row>
    <row r="130" spans="1:7" x14ac:dyDescent="0.25">
      <c r="A130" s="5" t="s">
        <v>97</v>
      </c>
      <c r="B130" s="3">
        <f>15390</f>
        <v>15390</v>
      </c>
      <c r="C130" s="3">
        <f>14280</f>
        <v>14280</v>
      </c>
      <c r="D130" s="3">
        <f>7900</f>
        <v>7900</v>
      </c>
      <c r="E130" s="3">
        <f>12790</f>
        <v>12790</v>
      </c>
      <c r="F130" s="3">
        <v>16475</v>
      </c>
      <c r="G130" s="3">
        <f t="shared" si="1"/>
        <v>66835</v>
      </c>
    </row>
    <row r="131" spans="1:7" x14ac:dyDescent="0.25">
      <c r="A131" s="5" t="s">
        <v>96</v>
      </c>
      <c r="B131" s="3">
        <f>17928.42</f>
        <v>17928.419999999998</v>
      </c>
      <c r="C131" s="3">
        <f>19220.15</f>
        <v>19220.150000000001</v>
      </c>
      <c r="D131" s="3">
        <f>18629.83</f>
        <v>18629.830000000002</v>
      </c>
      <c r="E131" s="3">
        <f>25295.65</f>
        <v>25295.65</v>
      </c>
      <c r="F131" s="3">
        <v>41725.839999999997</v>
      </c>
      <c r="G131" s="3">
        <f t="shared" si="1"/>
        <v>122799.89</v>
      </c>
    </row>
    <row r="132" spans="1:7" x14ac:dyDescent="0.25">
      <c r="A132" s="5" t="s">
        <v>95</v>
      </c>
      <c r="B132" s="3">
        <f>7374.37</f>
        <v>7374.37</v>
      </c>
      <c r="C132" s="3">
        <f>7423.6</f>
        <v>7423.6</v>
      </c>
      <c r="D132" s="3">
        <f>7331.97</f>
        <v>7331.97</v>
      </c>
      <c r="E132" s="3">
        <f>6705.22</f>
        <v>6705.22</v>
      </c>
      <c r="F132" s="3">
        <v>9321.89</v>
      </c>
      <c r="G132" s="3">
        <f t="shared" si="1"/>
        <v>38157.050000000003</v>
      </c>
    </row>
    <row r="133" spans="1:7" x14ac:dyDescent="0.25">
      <c r="A133" s="5" t="s">
        <v>94</v>
      </c>
      <c r="B133" s="3">
        <f>16806.19</f>
        <v>16806.189999999999</v>
      </c>
      <c r="C133" s="4"/>
      <c r="D133" s="4"/>
      <c r="E133" s="4"/>
      <c r="F133" s="4">
        <v>0</v>
      </c>
      <c r="G133" s="4">
        <f t="shared" si="1"/>
        <v>16806.189999999999</v>
      </c>
    </row>
    <row r="134" spans="1:7" x14ac:dyDescent="0.25">
      <c r="A134" s="5" t="s">
        <v>93</v>
      </c>
      <c r="B134" s="3">
        <f>72263.43</f>
        <v>72263.429999999993</v>
      </c>
      <c r="C134" s="3">
        <f>67776.16</f>
        <v>67776.160000000003</v>
      </c>
      <c r="D134" s="3">
        <f>77266.6</f>
        <v>77266.600000000006</v>
      </c>
      <c r="E134" s="3">
        <f>75597.79</f>
        <v>75597.789999999994</v>
      </c>
      <c r="F134" s="3">
        <v>161564.43</v>
      </c>
      <c r="G134" s="3">
        <f t="shared" si="1"/>
        <v>454468.41</v>
      </c>
    </row>
    <row r="135" spans="1:7" x14ac:dyDescent="0.25">
      <c r="A135" s="5" t="s">
        <v>92</v>
      </c>
      <c r="B135" s="3">
        <f>7102.16</f>
        <v>7102.16</v>
      </c>
      <c r="C135" s="3">
        <f>7406.39</f>
        <v>7406.39</v>
      </c>
      <c r="D135" s="3">
        <f>6665.47</f>
        <v>6665.47</v>
      </c>
      <c r="E135" s="3">
        <f>6919.65</f>
        <v>6919.65</v>
      </c>
      <c r="F135" s="3">
        <v>11206.3</v>
      </c>
      <c r="G135" s="3">
        <f t="shared" si="1"/>
        <v>39299.97</v>
      </c>
    </row>
    <row r="136" spans="1:7" x14ac:dyDescent="0.25">
      <c r="A136" s="5" t="s">
        <v>91</v>
      </c>
      <c r="B136" s="3">
        <f>7211.52</f>
        <v>7211.52</v>
      </c>
      <c r="C136" s="3">
        <f>8204.9</f>
        <v>8204.9</v>
      </c>
      <c r="D136" s="3">
        <f>8385.14</f>
        <v>8385.14</v>
      </c>
      <c r="E136" s="3">
        <f>7817.63</f>
        <v>7817.63</v>
      </c>
      <c r="F136" s="3">
        <v>8433.15</v>
      </c>
      <c r="G136" s="3">
        <f t="shared" si="1"/>
        <v>40052.339999999997</v>
      </c>
    </row>
    <row r="137" spans="1:7" x14ac:dyDescent="0.25">
      <c r="A137" s="5" t="s">
        <v>90</v>
      </c>
      <c r="B137" s="3">
        <f>6713.36</f>
        <v>6713.36</v>
      </c>
      <c r="C137" s="3">
        <f>6891.5</f>
        <v>6891.5</v>
      </c>
      <c r="D137" s="3">
        <f>6466.28</f>
        <v>6466.28</v>
      </c>
      <c r="E137" s="3">
        <f>6690.15</f>
        <v>6690.15</v>
      </c>
      <c r="F137" s="3">
        <v>8648.1</v>
      </c>
      <c r="G137" s="3">
        <f t="shared" si="1"/>
        <v>35409.39</v>
      </c>
    </row>
    <row r="138" spans="1:7" x14ac:dyDescent="0.25">
      <c r="A138" s="5" t="s">
        <v>89</v>
      </c>
      <c r="B138" s="4"/>
      <c r="C138" s="4"/>
      <c r="D138" s="4"/>
      <c r="E138" s="3">
        <f>1580.7</f>
        <v>1580.7</v>
      </c>
      <c r="F138" s="3">
        <v>0</v>
      </c>
      <c r="G138" s="3">
        <f t="shared" ref="G138:G201" si="2">((((B138)+(C138))+(D138))+(E138))+(F138)</f>
        <v>1580.7</v>
      </c>
    </row>
    <row r="139" spans="1:7" x14ac:dyDescent="0.25">
      <c r="A139" s="5" t="s">
        <v>88</v>
      </c>
      <c r="B139" s="3">
        <f>18782.19</f>
        <v>18782.189999999999</v>
      </c>
      <c r="C139" s="3">
        <f>22614.05</f>
        <v>22614.05</v>
      </c>
      <c r="D139" s="3">
        <f>22167.36</f>
        <v>22167.360000000001</v>
      </c>
      <c r="E139" s="3">
        <f>16663.92</f>
        <v>16663.919999999998</v>
      </c>
      <c r="F139" s="3">
        <v>4831.41</v>
      </c>
      <c r="G139" s="3">
        <f t="shared" si="2"/>
        <v>85058.93</v>
      </c>
    </row>
    <row r="140" spans="1:7" x14ac:dyDescent="0.25">
      <c r="A140" s="5" t="s">
        <v>87</v>
      </c>
      <c r="B140" s="3">
        <f>1106.76</f>
        <v>1106.76</v>
      </c>
      <c r="C140" s="3">
        <f>1804.5</f>
        <v>1804.5</v>
      </c>
      <c r="D140" s="3">
        <f>1461.71</f>
        <v>1461.71</v>
      </c>
      <c r="E140" s="3">
        <f>3925.32</f>
        <v>3925.32</v>
      </c>
      <c r="F140" s="3">
        <v>1909.56</v>
      </c>
      <c r="G140" s="3">
        <f t="shared" si="2"/>
        <v>10207.85</v>
      </c>
    </row>
    <row r="141" spans="1:7" x14ac:dyDescent="0.25">
      <c r="A141" s="5" t="s">
        <v>86</v>
      </c>
      <c r="B141" s="3">
        <f>5976.37</f>
        <v>5976.37</v>
      </c>
      <c r="C141" s="3">
        <f>3778.59</f>
        <v>3778.59</v>
      </c>
      <c r="D141" s="3">
        <f>2731.49</f>
        <v>2731.49</v>
      </c>
      <c r="E141" s="3">
        <f>6739.08</f>
        <v>6739.08</v>
      </c>
      <c r="F141" s="3">
        <v>6722.44</v>
      </c>
      <c r="G141" s="3">
        <f t="shared" si="2"/>
        <v>25947.969999999998</v>
      </c>
    </row>
    <row r="142" spans="1:7" x14ac:dyDescent="0.25">
      <c r="A142" s="5" t="s">
        <v>85</v>
      </c>
      <c r="B142" s="3">
        <f>571.93</f>
        <v>571.92999999999995</v>
      </c>
      <c r="C142" s="3">
        <f>0</f>
        <v>0</v>
      </c>
      <c r="D142" s="3">
        <f>0</f>
        <v>0</v>
      </c>
      <c r="E142" s="4"/>
      <c r="F142" s="4">
        <v>0</v>
      </c>
      <c r="G142" s="4">
        <f t="shared" si="2"/>
        <v>571.92999999999995</v>
      </c>
    </row>
    <row r="143" spans="1:7" x14ac:dyDescent="0.25">
      <c r="A143" s="5" t="s">
        <v>84</v>
      </c>
      <c r="B143" s="3">
        <f>98</f>
        <v>98</v>
      </c>
      <c r="C143" s="3">
        <f>360</f>
        <v>360</v>
      </c>
      <c r="D143" s="3">
        <f>315</f>
        <v>315</v>
      </c>
      <c r="E143" s="3">
        <f>451</f>
        <v>451</v>
      </c>
      <c r="F143" s="3">
        <v>170</v>
      </c>
      <c r="G143" s="3">
        <f t="shared" si="2"/>
        <v>1394</v>
      </c>
    </row>
    <row r="144" spans="1:7" x14ac:dyDescent="0.25">
      <c r="A144" s="5" t="s">
        <v>83</v>
      </c>
      <c r="B144" s="3">
        <f>3756.79</f>
        <v>3756.79</v>
      </c>
      <c r="C144" s="3">
        <f>1596.12</f>
        <v>1596.12</v>
      </c>
      <c r="D144" s="3">
        <f>2052.81</f>
        <v>2052.81</v>
      </c>
      <c r="E144" s="3">
        <f>1947.73</f>
        <v>1947.73</v>
      </c>
      <c r="F144" s="3">
        <v>2420.92</v>
      </c>
      <c r="G144" s="3">
        <f t="shared" si="2"/>
        <v>11774.369999999999</v>
      </c>
    </row>
    <row r="145" spans="1:7" x14ac:dyDescent="0.25">
      <c r="A145" s="5" t="s">
        <v>82</v>
      </c>
      <c r="B145" s="4"/>
      <c r="C145" s="4"/>
      <c r="D145" s="3">
        <f>298.56</f>
        <v>298.56</v>
      </c>
      <c r="E145" s="4"/>
      <c r="F145" s="4">
        <v>0</v>
      </c>
      <c r="G145" s="4">
        <f t="shared" si="2"/>
        <v>298.56</v>
      </c>
    </row>
    <row r="146" spans="1:7" x14ac:dyDescent="0.25">
      <c r="A146" s="5" t="s">
        <v>81</v>
      </c>
      <c r="B146" s="4"/>
      <c r="C146" s="3">
        <f>1296</f>
        <v>1296</v>
      </c>
      <c r="D146" s="4"/>
      <c r="E146" s="4"/>
      <c r="F146" s="4">
        <v>0</v>
      </c>
      <c r="G146" s="4">
        <f t="shared" si="2"/>
        <v>1296</v>
      </c>
    </row>
    <row r="147" spans="1:7" x14ac:dyDescent="0.25">
      <c r="A147" s="5" t="s">
        <v>80</v>
      </c>
      <c r="B147" s="3">
        <f>1323.52</f>
        <v>1323.52</v>
      </c>
      <c r="C147" s="3">
        <f>2648.21</f>
        <v>2648.21</v>
      </c>
      <c r="D147" s="3">
        <f>1341.96</f>
        <v>1341.96</v>
      </c>
      <c r="E147" s="3">
        <f>486.69</f>
        <v>486.69</v>
      </c>
      <c r="F147" s="3">
        <v>1086.33</v>
      </c>
      <c r="G147" s="3">
        <f t="shared" si="2"/>
        <v>6886.71</v>
      </c>
    </row>
    <row r="148" spans="1:7" x14ac:dyDescent="0.25">
      <c r="A148" s="5" t="s">
        <v>79</v>
      </c>
      <c r="B148" s="4"/>
      <c r="C148" s="3">
        <f>189</f>
        <v>189</v>
      </c>
      <c r="D148" s="4"/>
      <c r="E148" s="4"/>
      <c r="F148" s="4"/>
      <c r="G148" s="4">
        <f t="shared" si="2"/>
        <v>189</v>
      </c>
    </row>
    <row r="149" spans="1:7" x14ac:dyDescent="0.25">
      <c r="A149" s="5" t="s">
        <v>78</v>
      </c>
      <c r="B149" s="3">
        <f>9051.71</f>
        <v>9051.7099999999991</v>
      </c>
      <c r="C149" s="4"/>
      <c r="D149" s="4"/>
      <c r="E149" s="3">
        <f>1329.81</f>
        <v>1329.81</v>
      </c>
      <c r="F149" s="3"/>
      <c r="G149" s="3">
        <f t="shared" si="2"/>
        <v>10381.519999999999</v>
      </c>
    </row>
    <row r="150" spans="1:7" x14ac:dyDescent="0.25">
      <c r="A150" s="5" t="s">
        <v>77</v>
      </c>
      <c r="B150" s="3">
        <f>150</f>
        <v>150</v>
      </c>
      <c r="C150" s="4"/>
      <c r="D150" s="4"/>
      <c r="E150" s="4"/>
      <c r="F150" s="4"/>
      <c r="G150" s="4">
        <f t="shared" si="2"/>
        <v>150</v>
      </c>
    </row>
    <row r="151" spans="1:7" x14ac:dyDescent="0.25">
      <c r="A151" s="5" t="s">
        <v>76</v>
      </c>
      <c r="B151" s="3">
        <f>0</f>
        <v>0</v>
      </c>
      <c r="C151" s="3">
        <f>0</f>
        <v>0</v>
      </c>
      <c r="D151" s="4"/>
      <c r="E151" s="4"/>
      <c r="F151" s="4"/>
      <c r="G151" s="4">
        <f t="shared" si="2"/>
        <v>0</v>
      </c>
    </row>
    <row r="152" spans="1:7" x14ac:dyDescent="0.25">
      <c r="A152" s="5" t="s">
        <v>75</v>
      </c>
      <c r="B152" s="4"/>
      <c r="C152" s="3">
        <f>392.3</f>
        <v>392.3</v>
      </c>
      <c r="D152" s="3">
        <f>883.31</f>
        <v>883.31</v>
      </c>
      <c r="E152" s="3">
        <f>676.59</f>
        <v>676.59</v>
      </c>
      <c r="F152" s="3"/>
      <c r="G152" s="3">
        <f t="shared" si="2"/>
        <v>1952.1999999999998</v>
      </c>
    </row>
    <row r="153" spans="1:7" x14ac:dyDescent="0.25">
      <c r="A153" s="5" t="s">
        <v>74</v>
      </c>
      <c r="B153" s="6">
        <f>(((((((B145)+(B146))+(B147))+(B148))+(B149))+(B150))+(B151))+(B152)</f>
        <v>10525.23</v>
      </c>
      <c r="C153" s="6">
        <f>(((((((C145)+(C146))+(C147))+(C148))+(C149))+(C150))+(C151))+(C152)</f>
        <v>4525.51</v>
      </c>
      <c r="D153" s="6">
        <f>(((((((D145)+(D146))+(D147))+(D148))+(D149))+(D150))+(D151))+(D152)</f>
        <v>2523.83</v>
      </c>
      <c r="E153" s="6">
        <f>(((((((E145)+(E146))+(E147))+(E148))+(E149))+(E150))+(E151))+(E152)</f>
        <v>2493.09</v>
      </c>
      <c r="F153" s="6">
        <v>1086.33</v>
      </c>
      <c r="G153" s="6">
        <f t="shared" si="2"/>
        <v>21153.989999999998</v>
      </c>
    </row>
    <row r="154" spans="1:7" x14ac:dyDescent="0.25">
      <c r="A154" s="5" t="s">
        <v>73</v>
      </c>
      <c r="B154" s="4"/>
      <c r="C154" s="4"/>
      <c r="D154" s="3">
        <f>8700</f>
        <v>8700</v>
      </c>
      <c r="E154" s="4"/>
      <c r="F154" s="4"/>
      <c r="G154" s="4">
        <f t="shared" si="2"/>
        <v>8700</v>
      </c>
    </row>
    <row r="155" spans="1:7" x14ac:dyDescent="0.25">
      <c r="A155" s="5" t="s">
        <v>72</v>
      </c>
      <c r="B155" s="4"/>
      <c r="C155" s="4"/>
      <c r="D155" s="4"/>
      <c r="E155" s="3">
        <f>1311.76</f>
        <v>1311.76</v>
      </c>
      <c r="F155" s="3">
        <v>0</v>
      </c>
      <c r="G155" s="3">
        <f t="shared" si="2"/>
        <v>1311.76</v>
      </c>
    </row>
    <row r="156" spans="1:7" x14ac:dyDescent="0.25">
      <c r="A156" s="5" t="s">
        <v>71</v>
      </c>
      <c r="B156" s="4"/>
      <c r="C156" s="3">
        <f>3316.67</f>
        <v>3316.67</v>
      </c>
      <c r="D156" s="3">
        <f>4628.52</f>
        <v>4628.5200000000004</v>
      </c>
      <c r="E156" s="4"/>
      <c r="F156" s="4"/>
      <c r="G156" s="4">
        <f t="shared" si="2"/>
        <v>7945.1900000000005</v>
      </c>
    </row>
    <row r="157" spans="1:7" x14ac:dyDescent="0.25">
      <c r="A157" s="5" t="s">
        <v>70</v>
      </c>
      <c r="B157" s="3">
        <f>521.25</f>
        <v>521.25</v>
      </c>
      <c r="C157" s="3">
        <f>617</f>
        <v>617</v>
      </c>
      <c r="D157" s="3">
        <f>339.61</f>
        <v>339.61</v>
      </c>
      <c r="E157" s="4"/>
      <c r="F157" s="4"/>
      <c r="G157" s="4">
        <f t="shared" si="2"/>
        <v>1477.8600000000001</v>
      </c>
    </row>
    <row r="158" spans="1:7" x14ac:dyDescent="0.25">
      <c r="A158" s="5" t="s">
        <v>69</v>
      </c>
      <c r="B158" s="3">
        <f>1047.01</f>
        <v>1047.01</v>
      </c>
      <c r="C158" s="3">
        <f>420</f>
        <v>420</v>
      </c>
      <c r="D158" s="3">
        <f>623.9</f>
        <v>623.9</v>
      </c>
      <c r="E158" s="3">
        <f>237.74</f>
        <v>237.74</v>
      </c>
      <c r="F158" s="3">
        <v>434.48</v>
      </c>
      <c r="G158" s="3">
        <f t="shared" si="2"/>
        <v>2763.1299999999997</v>
      </c>
    </row>
    <row r="159" spans="1:7" x14ac:dyDescent="0.25">
      <c r="A159" s="5" t="s">
        <v>68</v>
      </c>
      <c r="B159" s="4"/>
      <c r="C159" s="4"/>
      <c r="D159" s="4"/>
      <c r="E159" s="4"/>
      <c r="F159" s="4">
        <v>463.8</v>
      </c>
      <c r="G159" s="4">
        <f t="shared" si="2"/>
        <v>463.8</v>
      </c>
    </row>
    <row r="160" spans="1:7" x14ac:dyDescent="0.25">
      <c r="A160" s="5" t="s">
        <v>67</v>
      </c>
      <c r="B160" s="4"/>
      <c r="C160" s="4"/>
      <c r="D160" s="3">
        <f>10572.64</f>
        <v>10572.64</v>
      </c>
      <c r="E160" s="3">
        <f>13358.46</f>
        <v>13358.46</v>
      </c>
      <c r="F160" s="3">
        <v>0</v>
      </c>
      <c r="G160" s="3">
        <f t="shared" si="2"/>
        <v>23931.1</v>
      </c>
    </row>
    <row r="161" spans="1:7" x14ac:dyDescent="0.25">
      <c r="A161" s="5" t="s">
        <v>66</v>
      </c>
      <c r="B161" s="4"/>
      <c r="C161" s="3">
        <f>800</f>
        <v>800</v>
      </c>
      <c r="D161" s="4"/>
      <c r="E161" s="3">
        <f>550</f>
        <v>550</v>
      </c>
      <c r="F161" s="3">
        <v>191.34</v>
      </c>
      <c r="G161" s="3">
        <f t="shared" si="2"/>
        <v>1541.34</v>
      </c>
    </row>
    <row r="162" spans="1:7" x14ac:dyDescent="0.25">
      <c r="A162" s="5" t="s">
        <v>65</v>
      </c>
      <c r="B162" s="3">
        <f>196.56</f>
        <v>196.56</v>
      </c>
      <c r="C162" s="3">
        <f>843.1</f>
        <v>843.1</v>
      </c>
      <c r="D162" s="3">
        <f>226.55</f>
        <v>226.55</v>
      </c>
      <c r="E162" s="3">
        <f>757.7</f>
        <v>757.7</v>
      </c>
      <c r="F162" s="3"/>
      <c r="G162" s="3">
        <f t="shared" si="2"/>
        <v>2023.91</v>
      </c>
    </row>
    <row r="163" spans="1:7" x14ac:dyDescent="0.25">
      <c r="A163" s="5" t="s">
        <v>64</v>
      </c>
      <c r="B163" s="3">
        <f>1106.6</f>
        <v>1106.5999999999999</v>
      </c>
      <c r="C163" s="3">
        <f>1220.19</f>
        <v>1220.19</v>
      </c>
      <c r="D163" s="3">
        <f>277.07</f>
        <v>277.07</v>
      </c>
      <c r="E163" s="3">
        <f>1142.4</f>
        <v>1142.4000000000001</v>
      </c>
      <c r="F163" s="3">
        <v>1898.82</v>
      </c>
      <c r="G163" s="3">
        <f t="shared" si="2"/>
        <v>5645.08</v>
      </c>
    </row>
    <row r="164" spans="1:7" x14ac:dyDescent="0.25">
      <c r="A164" s="5" t="s">
        <v>63</v>
      </c>
      <c r="B164" s="3">
        <f>2192.96</f>
        <v>2192.96</v>
      </c>
      <c r="C164" s="3">
        <f>863.72</f>
        <v>863.72</v>
      </c>
      <c r="D164" s="3">
        <f>449.75</f>
        <v>449.75</v>
      </c>
      <c r="E164" s="3">
        <f>195.6</f>
        <v>195.6</v>
      </c>
      <c r="F164" s="3">
        <v>505.96</v>
      </c>
      <c r="G164" s="3">
        <f t="shared" si="2"/>
        <v>4207.99</v>
      </c>
    </row>
    <row r="165" spans="1:7" x14ac:dyDescent="0.25">
      <c r="A165" s="5" t="s">
        <v>62</v>
      </c>
      <c r="B165" s="4"/>
      <c r="C165" s="4"/>
      <c r="D165" s="3">
        <f>0</f>
        <v>0</v>
      </c>
      <c r="E165" s="3">
        <f>0</f>
        <v>0</v>
      </c>
      <c r="F165" s="3">
        <v>0</v>
      </c>
      <c r="G165" s="3">
        <f t="shared" si="2"/>
        <v>0</v>
      </c>
    </row>
    <row r="166" spans="1:7" x14ac:dyDescent="0.25">
      <c r="A166" s="5" t="s">
        <v>61</v>
      </c>
      <c r="B166" s="3">
        <f>8044.69</f>
        <v>8044.69</v>
      </c>
      <c r="C166" s="3">
        <f>14855.52</f>
        <v>14855.52</v>
      </c>
      <c r="D166" s="3">
        <f>5385.42</f>
        <v>5385.42</v>
      </c>
      <c r="E166" s="3">
        <f>30877.35</f>
        <v>30877.35</v>
      </c>
      <c r="F166" s="3">
        <v>37377.29</v>
      </c>
      <c r="G166" s="3">
        <f t="shared" si="2"/>
        <v>96540.26999999999</v>
      </c>
    </row>
    <row r="167" spans="1:7" x14ac:dyDescent="0.25">
      <c r="A167" s="5" t="s">
        <v>60</v>
      </c>
      <c r="B167" s="3">
        <f>1013.85</f>
        <v>1013.85</v>
      </c>
      <c r="C167" s="3">
        <f>1196.64</f>
        <v>1196.6400000000001</v>
      </c>
      <c r="D167" s="3">
        <f>1014.22</f>
        <v>1014.22</v>
      </c>
      <c r="E167" s="3">
        <f>1085.43</f>
        <v>1085.43</v>
      </c>
      <c r="F167" s="3">
        <v>1093.0999999999999</v>
      </c>
      <c r="G167" s="3">
        <f t="shared" si="2"/>
        <v>5403.24</v>
      </c>
    </row>
    <row r="168" spans="1:7" x14ac:dyDescent="0.25">
      <c r="A168" s="5" t="s">
        <v>59</v>
      </c>
      <c r="B168" s="4"/>
      <c r="C168" s="4"/>
      <c r="D168" s="3">
        <f>600</f>
        <v>600</v>
      </c>
      <c r="E168" s="4"/>
      <c r="F168" s="4">
        <v>339.83</v>
      </c>
      <c r="G168" s="4">
        <f t="shared" si="2"/>
        <v>939.82999999999993</v>
      </c>
    </row>
    <row r="169" spans="1:7" x14ac:dyDescent="0.25">
      <c r="A169" s="5" t="s">
        <v>58</v>
      </c>
      <c r="B169" s="4"/>
      <c r="C169" s="3">
        <f>2100</f>
        <v>2100</v>
      </c>
      <c r="D169" s="3">
        <f>751.62</f>
        <v>751.62</v>
      </c>
      <c r="E169" s="3">
        <f>2100</f>
        <v>2100</v>
      </c>
      <c r="F169" s="3">
        <v>3145.21</v>
      </c>
      <c r="G169" s="3">
        <f t="shared" si="2"/>
        <v>8096.83</v>
      </c>
    </row>
    <row r="170" spans="1:7" x14ac:dyDescent="0.25">
      <c r="A170" s="5" t="s">
        <v>57</v>
      </c>
      <c r="B170" s="3">
        <f>1330.44</f>
        <v>1330.44</v>
      </c>
      <c r="C170" s="3">
        <f>2341.55</f>
        <v>2341.5500000000002</v>
      </c>
      <c r="D170" s="3">
        <f>679.92</f>
        <v>679.92</v>
      </c>
      <c r="E170" s="3">
        <f>892.39</f>
        <v>892.39</v>
      </c>
      <c r="F170" s="3">
        <v>568.83000000000004</v>
      </c>
      <c r="G170" s="3">
        <f t="shared" si="2"/>
        <v>5813.13</v>
      </c>
    </row>
    <row r="171" spans="1:7" x14ac:dyDescent="0.25">
      <c r="A171" s="5" t="s">
        <v>56</v>
      </c>
      <c r="B171" s="3">
        <f>577.25</f>
        <v>577.25</v>
      </c>
      <c r="C171" s="3">
        <f>848.89</f>
        <v>848.89</v>
      </c>
      <c r="D171" s="3">
        <f>1185.82</f>
        <v>1185.82</v>
      </c>
      <c r="E171" s="3">
        <f>801.46</f>
        <v>801.46</v>
      </c>
      <c r="F171" s="3">
        <v>473.48</v>
      </c>
      <c r="G171" s="3">
        <f t="shared" si="2"/>
        <v>3886.9</v>
      </c>
    </row>
    <row r="172" spans="1:7" x14ac:dyDescent="0.25">
      <c r="A172" s="5" t="s">
        <v>55</v>
      </c>
      <c r="B172" s="3">
        <f>3686.3</f>
        <v>3686.3</v>
      </c>
      <c r="C172" s="3">
        <f>3310</f>
        <v>3310</v>
      </c>
      <c r="D172" s="3">
        <f>3888.27</f>
        <v>3888.27</v>
      </c>
      <c r="E172" s="3">
        <f>3715.28</f>
        <v>3715.28</v>
      </c>
      <c r="F172" s="3">
        <v>5887.27</v>
      </c>
      <c r="G172" s="3">
        <f t="shared" si="2"/>
        <v>20487.120000000003</v>
      </c>
    </row>
    <row r="173" spans="1:7" x14ac:dyDescent="0.25">
      <c r="A173" s="5" t="s">
        <v>54</v>
      </c>
      <c r="B173" s="3">
        <f>978.54</f>
        <v>978.54</v>
      </c>
      <c r="C173" s="3">
        <f>2154.99</f>
        <v>2154.9899999999998</v>
      </c>
      <c r="D173" s="3">
        <f>1519.55</f>
        <v>1519.55</v>
      </c>
      <c r="E173" s="3">
        <f>1195.18</f>
        <v>1195.18</v>
      </c>
      <c r="F173" s="3">
        <v>1466.12</v>
      </c>
      <c r="G173" s="3">
        <f t="shared" si="2"/>
        <v>7314.38</v>
      </c>
    </row>
    <row r="174" spans="1:7" x14ac:dyDescent="0.25">
      <c r="A174" s="5" t="s">
        <v>53</v>
      </c>
      <c r="B174" s="4"/>
      <c r="C174" s="4"/>
      <c r="D174" s="4"/>
      <c r="E174" s="4"/>
      <c r="F174" s="4">
        <v>9690.8799999999992</v>
      </c>
      <c r="G174" s="4">
        <f t="shared" si="2"/>
        <v>9690.8799999999992</v>
      </c>
    </row>
    <row r="175" spans="1:7" x14ac:dyDescent="0.25">
      <c r="A175" s="5" t="s">
        <v>52</v>
      </c>
      <c r="B175" s="4"/>
      <c r="C175" s="4"/>
      <c r="D175" s="4"/>
      <c r="E175" s="3">
        <f>500</f>
        <v>500</v>
      </c>
      <c r="F175" s="3">
        <v>0</v>
      </c>
      <c r="G175" s="3">
        <f t="shared" si="2"/>
        <v>500</v>
      </c>
    </row>
    <row r="176" spans="1:7" x14ac:dyDescent="0.25">
      <c r="A176" s="5" t="s">
        <v>51</v>
      </c>
      <c r="B176" s="4"/>
      <c r="C176" s="4"/>
      <c r="D176" s="3">
        <f>502.5</f>
        <v>502.5</v>
      </c>
      <c r="E176" s="3">
        <f>53.33</f>
        <v>53.33</v>
      </c>
      <c r="F176" s="3">
        <v>0</v>
      </c>
      <c r="G176" s="3">
        <f t="shared" si="2"/>
        <v>555.83000000000004</v>
      </c>
    </row>
    <row r="177" spans="1:7" x14ac:dyDescent="0.25">
      <c r="A177" s="5" t="s">
        <v>50</v>
      </c>
      <c r="B177" s="4"/>
      <c r="C177" s="4"/>
      <c r="D177" s="3">
        <f>135.43</f>
        <v>135.43</v>
      </c>
      <c r="E177" s="4"/>
      <c r="F177" s="4"/>
      <c r="G177" s="4">
        <f t="shared" si="2"/>
        <v>135.43</v>
      </c>
    </row>
    <row r="178" spans="1:7" x14ac:dyDescent="0.25">
      <c r="A178" s="5" t="s">
        <v>49</v>
      </c>
      <c r="B178" s="6">
        <f>(((B174)+(B175))+(B176))+(B177)</f>
        <v>0</v>
      </c>
      <c r="C178" s="6">
        <f>(((C174)+(C175))+(C176))+(C177)</f>
        <v>0</v>
      </c>
      <c r="D178" s="6">
        <f>(((D174)+(D175))+(D176))+(D177)</f>
        <v>637.93000000000006</v>
      </c>
      <c r="E178" s="6">
        <f>(((E174)+(E175))+(E176))+(E177)</f>
        <v>553.33000000000004</v>
      </c>
      <c r="F178" s="6">
        <f>(((F174)+(F175))+(F176))+(F177)</f>
        <v>9690.8799999999992</v>
      </c>
      <c r="G178" s="6">
        <f t="shared" si="2"/>
        <v>10882.14</v>
      </c>
    </row>
    <row r="179" spans="1:7" x14ac:dyDescent="0.25">
      <c r="A179" s="5" t="s">
        <v>48</v>
      </c>
      <c r="B179" s="4"/>
      <c r="C179" s="4"/>
      <c r="D179" s="3">
        <f>6543.24</f>
        <v>6543.24</v>
      </c>
      <c r="E179" s="3">
        <f>2538.79</f>
        <v>2538.79</v>
      </c>
      <c r="F179" s="3"/>
      <c r="G179" s="3">
        <f t="shared" si="2"/>
        <v>9082.0299999999988</v>
      </c>
    </row>
    <row r="180" spans="1:7" x14ac:dyDescent="0.25">
      <c r="A180" s="5" t="s">
        <v>47</v>
      </c>
      <c r="B180" s="3">
        <f>639.21</f>
        <v>639.21</v>
      </c>
      <c r="C180" s="4"/>
      <c r="D180" s="4"/>
      <c r="E180" s="4"/>
      <c r="F180" s="4"/>
      <c r="G180" s="4">
        <f t="shared" si="2"/>
        <v>639.21</v>
      </c>
    </row>
    <row r="181" spans="1:7" x14ac:dyDescent="0.25">
      <c r="A181" s="5" t="s">
        <v>46</v>
      </c>
      <c r="B181" s="3">
        <f>2149.68</f>
        <v>2149.6799999999998</v>
      </c>
      <c r="C181" s="3">
        <f>1690.79</f>
        <v>1690.79</v>
      </c>
      <c r="D181" s="3">
        <f>1163.18</f>
        <v>1163.18</v>
      </c>
      <c r="E181" s="3">
        <f>970.58</f>
        <v>970.58</v>
      </c>
      <c r="F181" s="3">
        <v>536.34</v>
      </c>
      <c r="G181" s="3">
        <f t="shared" si="2"/>
        <v>6510.57</v>
      </c>
    </row>
    <row r="182" spans="1:7" x14ac:dyDescent="0.25">
      <c r="A182" s="5" t="s">
        <v>45</v>
      </c>
      <c r="B182" s="3">
        <f>2396.14</f>
        <v>2396.14</v>
      </c>
      <c r="C182" s="3">
        <f>2981.73</f>
        <v>2981.73</v>
      </c>
      <c r="D182" s="3">
        <f>3384.43</f>
        <v>3384.43</v>
      </c>
      <c r="E182" s="3">
        <f>3972.33</f>
        <v>3972.33</v>
      </c>
      <c r="F182" s="3">
        <v>4015.1</v>
      </c>
      <c r="G182" s="3">
        <f t="shared" si="2"/>
        <v>16749.73</v>
      </c>
    </row>
    <row r="183" spans="1:7" x14ac:dyDescent="0.25">
      <c r="A183" s="5" t="s">
        <v>44</v>
      </c>
      <c r="B183" s="3">
        <f>3344.3</f>
        <v>3344.3</v>
      </c>
      <c r="C183" s="3">
        <f>408</f>
        <v>408</v>
      </c>
      <c r="D183" s="3">
        <f>4896</f>
        <v>4896</v>
      </c>
      <c r="E183" s="3">
        <f>4896</f>
        <v>4896</v>
      </c>
      <c r="F183" s="3">
        <v>1248.5</v>
      </c>
      <c r="G183" s="3">
        <f t="shared" si="2"/>
        <v>14792.8</v>
      </c>
    </row>
    <row r="184" spans="1:7" x14ac:dyDescent="0.25">
      <c r="A184" s="5" t="s">
        <v>43</v>
      </c>
      <c r="B184" s="3">
        <f>2535.99</f>
        <v>2535.9899999999998</v>
      </c>
      <c r="C184" s="3">
        <f>2527.61</f>
        <v>2527.61</v>
      </c>
      <c r="D184" s="3">
        <f>1518.84</f>
        <v>1518.84</v>
      </c>
      <c r="E184" s="3">
        <f>1959.38</f>
        <v>1959.38</v>
      </c>
      <c r="F184" s="3">
        <v>1210.22</v>
      </c>
      <c r="G184" s="3">
        <f t="shared" si="2"/>
        <v>9752.0399999999991</v>
      </c>
    </row>
    <row r="185" spans="1:7" x14ac:dyDescent="0.25">
      <c r="A185" s="5" t="s">
        <v>42</v>
      </c>
      <c r="B185" s="4"/>
      <c r="C185" s="4"/>
      <c r="D185" s="4"/>
      <c r="E185" s="4"/>
      <c r="F185" s="4">
        <v>507.35</v>
      </c>
      <c r="G185" s="4">
        <f t="shared" si="2"/>
        <v>507.35</v>
      </c>
    </row>
    <row r="186" spans="1:7" x14ac:dyDescent="0.25">
      <c r="A186" s="5" t="s">
        <v>41</v>
      </c>
      <c r="B186" s="3">
        <f>1212.37</f>
        <v>1212.3699999999999</v>
      </c>
      <c r="C186" s="3">
        <f>427.22</f>
        <v>427.22</v>
      </c>
      <c r="D186" s="3">
        <f>750.56</f>
        <v>750.56</v>
      </c>
      <c r="E186" s="3">
        <f>599.6</f>
        <v>599.6</v>
      </c>
      <c r="F186" s="3">
        <v>0</v>
      </c>
      <c r="G186" s="3">
        <f t="shared" si="2"/>
        <v>2989.7499999999995</v>
      </c>
    </row>
    <row r="187" spans="1:7" x14ac:dyDescent="0.25">
      <c r="A187" s="5" t="s">
        <v>40</v>
      </c>
      <c r="B187" s="3">
        <f>91.2</f>
        <v>91.2</v>
      </c>
      <c r="C187" s="4"/>
      <c r="D187" s="4"/>
      <c r="E187" s="4"/>
      <c r="F187" s="4">
        <v>0</v>
      </c>
      <c r="G187" s="4">
        <f t="shared" si="2"/>
        <v>91.2</v>
      </c>
    </row>
    <row r="188" spans="1:7" x14ac:dyDescent="0.25">
      <c r="A188" s="5" t="s">
        <v>39</v>
      </c>
      <c r="B188" s="4"/>
      <c r="C188" s="3">
        <f>5000</f>
        <v>5000</v>
      </c>
      <c r="D188" s="4"/>
      <c r="E188" s="4"/>
      <c r="F188" s="4"/>
      <c r="G188" s="4">
        <f t="shared" si="2"/>
        <v>5000</v>
      </c>
    </row>
    <row r="189" spans="1:7" x14ac:dyDescent="0.25">
      <c r="A189" s="5" t="s">
        <v>38</v>
      </c>
      <c r="B189" s="6">
        <f>(B187)+(B188)</f>
        <v>91.2</v>
      </c>
      <c r="C189" s="6">
        <f>(C187)+(C188)</f>
        <v>5000</v>
      </c>
      <c r="D189" s="6">
        <f>(D187)+(D188)</f>
        <v>0</v>
      </c>
      <c r="E189" s="6">
        <f>(E187)+(E188)</f>
        <v>0</v>
      </c>
      <c r="F189" s="6">
        <f>(F187)+(F188)</f>
        <v>0</v>
      </c>
      <c r="G189" s="6">
        <f t="shared" si="2"/>
        <v>5091.2</v>
      </c>
    </row>
    <row r="190" spans="1:7" x14ac:dyDescent="0.25">
      <c r="A190" s="5" t="s">
        <v>37</v>
      </c>
      <c r="B190" s="3">
        <f>7064</f>
        <v>7064</v>
      </c>
      <c r="C190" s="4"/>
      <c r="D190" s="4"/>
      <c r="E190" s="4"/>
      <c r="F190" s="4"/>
      <c r="G190" s="4">
        <f t="shared" si="2"/>
        <v>7064</v>
      </c>
    </row>
    <row r="191" spans="1:7" x14ac:dyDescent="0.25">
      <c r="A191" s="5" t="s">
        <v>36</v>
      </c>
      <c r="B191" s="4"/>
      <c r="C191" s="4"/>
      <c r="D191" s="4"/>
      <c r="E191" s="4"/>
      <c r="F191" s="4">
        <v>545.98</v>
      </c>
      <c r="G191" s="4">
        <f t="shared" si="2"/>
        <v>545.98</v>
      </c>
    </row>
    <row r="192" spans="1:7" x14ac:dyDescent="0.25">
      <c r="A192" s="5" t="s">
        <v>35</v>
      </c>
      <c r="B192" s="4"/>
      <c r="C192" s="4"/>
      <c r="D192" s="4"/>
      <c r="E192" s="4"/>
      <c r="F192" s="4">
        <v>23154.76</v>
      </c>
      <c r="G192" s="4">
        <f t="shared" si="2"/>
        <v>23154.76</v>
      </c>
    </row>
    <row r="193" spans="1:7" x14ac:dyDescent="0.25">
      <c r="A193" s="5" t="s">
        <v>34</v>
      </c>
      <c r="B193" s="3">
        <f>31761.32</f>
        <v>31761.32</v>
      </c>
      <c r="C193" s="3">
        <f>44338.15</f>
        <v>44338.15</v>
      </c>
      <c r="D193" s="3">
        <f>53954.57</f>
        <v>53954.57</v>
      </c>
      <c r="E193" s="3">
        <f>71792.03</f>
        <v>71792.03</v>
      </c>
      <c r="F193" s="3">
        <v>59835.23</v>
      </c>
      <c r="G193" s="3">
        <f t="shared" si="2"/>
        <v>261681.30000000002</v>
      </c>
    </row>
    <row r="194" spans="1:7" x14ac:dyDescent="0.25">
      <c r="A194" s="5" t="s">
        <v>33</v>
      </c>
      <c r="B194" s="4"/>
      <c r="C194" s="4"/>
      <c r="D194" s="4"/>
      <c r="E194" s="3">
        <f>701.06</f>
        <v>701.06</v>
      </c>
      <c r="F194" s="3">
        <v>1822.31</v>
      </c>
      <c r="G194" s="3">
        <f t="shared" si="2"/>
        <v>2523.37</v>
      </c>
    </row>
    <row r="195" spans="1:7" x14ac:dyDescent="0.25">
      <c r="A195" s="5" t="s">
        <v>32</v>
      </c>
      <c r="B195" s="4"/>
      <c r="C195" s="4"/>
      <c r="D195" s="4"/>
      <c r="E195" s="3">
        <f>2517.32</f>
        <v>2517.3200000000002</v>
      </c>
      <c r="F195" s="3">
        <v>6395.18</v>
      </c>
      <c r="G195" s="3">
        <f t="shared" si="2"/>
        <v>8912.5</v>
      </c>
    </row>
    <row r="196" spans="1:7" x14ac:dyDescent="0.25">
      <c r="A196" s="5" t="s">
        <v>31</v>
      </c>
      <c r="B196" s="3">
        <f>9993.09</f>
        <v>9993.09</v>
      </c>
      <c r="C196" s="3">
        <f>11214.18</f>
        <v>11214.18</v>
      </c>
      <c r="D196" s="3">
        <f>15170.51</f>
        <v>15170.51</v>
      </c>
      <c r="E196" s="3">
        <f>19689.55</f>
        <v>19689.55</v>
      </c>
      <c r="F196" s="3">
        <v>31020.34</v>
      </c>
      <c r="G196" s="3">
        <f t="shared" si="2"/>
        <v>87087.67</v>
      </c>
    </row>
    <row r="197" spans="1:7" x14ac:dyDescent="0.25">
      <c r="A197" s="5" t="s">
        <v>30</v>
      </c>
      <c r="B197" s="4"/>
      <c r="C197" s="4"/>
      <c r="D197" s="4"/>
      <c r="E197" s="4"/>
      <c r="F197" s="4">
        <v>7395</v>
      </c>
      <c r="G197" s="4">
        <f t="shared" si="2"/>
        <v>7395</v>
      </c>
    </row>
    <row r="198" spans="1:7" x14ac:dyDescent="0.25">
      <c r="A198" s="5" t="s">
        <v>29</v>
      </c>
      <c r="B198" s="3">
        <f>375591.4</f>
        <v>375591.4</v>
      </c>
      <c r="C198" s="3">
        <f>400971.99</f>
        <v>400971.99</v>
      </c>
      <c r="D198" s="3">
        <f>428210.41</f>
        <v>428210.41</v>
      </c>
      <c r="E198" s="3">
        <f>486041.94</f>
        <v>486041.94</v>
      </c>
      <c r="F198" s="3">
        <v>404189.49</v>
      </c>
      <c r="G198" s="3">
        <f t="shared" si="2"/>
        <v>2095005.23</v>
      </c>
    </row>
    <row r="199" spans="1:7" x14ac:dyDescent="0.25">
      <c r="A199" s="5" t="s">
        <v>28</v>
      </c>
      <c r="B199" s="4"/>
      <c r="C199" s="4"/>
      <c r="D199" s="4"/>
      <c r="E199" s="4"/>
      <c r="F199" s="4">
        <v>0</v>
      </c>
      <c r="G199" s="4">
        <f t="shared" si="2"/>
        <v>0</v>
      </c>
    </row>
    <row r="200" spans="1:7" x14ac:dyDescent="0.25">
      <c r="A200" s="5" t="s">
        <v>27</v>
      </c>
      <c r="B200" s="3">
        <f>24110.99</f>
        <v>24110.99</v>
      </c>
      <c r="C200" s="3">
        <f>27721.17</f>
        <v>27721.17</v>
      </c>
      <c r="D200" s="3">
        <f>28650.97</f>
        <v>28650.97</v>
      </c>
      <c r="E200" s="3">
        <f>34992.32</f>
        <v>34992.32</v>
      </c>
      <c r="F200" s="3">
        <v>35753.68</v>
      </c>
      <c r="G200" s="3">
        <f t="shared" si="2"/>
        <v>151229.13</v>
      </c>
    </row>
    <row r="201" spans="1:7" x14ac:dyDescent="0.25">
      <c r="A201" s="5" t="s">
        <v>26</v>
      </c>
      <c r="B201" s="3">
        <f>5638.9</f>
        <v>5638.9</v>
      </c>
      <c r="C201" s="3">
        <f>6483</f>
        <v>6483</v>
      </c>
      <c r="D201" s="3">
        <f>6701.15</f>
        <v>6701.15</v>
      </c>
      <c r="E201" s="3">
        <f>8406.81</f>
        <v>8406.81</v>
      </c>
      <c r="F201" s="3">
        <v>8172.12</v>
      </c>
      <c r="G201" s="3">
        <f t="shared" si="2"/>
        <v>35401.980000000003</v>
      </c>
    </row>
    <row r="202" spans="1:7" x14ac:dyDescent="0.25">
      <c r="A202" s="5" t="s">
        <v>25</v>
      </c>
      <c r="B202" s="3">
        <f>0</f>
        <v>0</v>
      </c>
      <c r="C202" s="3">
        <f>0</f>
        <v>0</v>
      </c>
      <c r="D202" s="3">
        <f>0</f>
        <v>0</v>
      </c>
      <c r="E202" s="3">
        <f>0</f>
        <v>0</v>
      </c>
      <c r="F202" s="3">
        <v>7744.19</v>
      </c>
      <c r="G202" s="3">
        <f t="shared" ref="G202:G206" si="3">((((B202)+(C202))+(D202))+(E202))+(F202)</f>
        <v>7744.19</v>
      </c>
    </row>
    <row r="203" spans="1:7" x14ac:dyDescent="0.25">
      <c r="A203" s="5" t="s">
        <v>24</v>
      </c>
      <c r="B203" s="3">
        <f>3446.98</f>
        <v>3446.98</v>
      </c>
      <c r="C203" s="3">
        <f>2629.78</f>
        <v>2629.78</v>
      </c>
      <c r="D203" s="3">
        <f>2279.52</f>
        <v>2279.52</v>
      </c>
      <c r="E203" s="3">
        <f>1589.79</f>
        <v>1589.79</v>
      </c>
      <c r="F203" s="3">
        <v>6514.12</v>
      </c>
      <c r="G203" s="3">
        <f t="shared" si="3"/>
        <v>16460.189999999999</v>
      </c>
    </row>
    <row r="204" spans="1:7" x14ac:dyDescent="0.25">
      <c r="A204" s="5" t="s">
        <v>23</v>
      </c>
      <c r="B204" s="3">
        <f>6908</f>
        <v>6908</v>
      </c>
      <c r="C204" s="3">
        <f>7823</f>
        <v>7823</v>
      </c>
      <c r="D204" s="3">
        <f>6831</f>
        <v>6831</v>
      </c>
      <c r="E204" s="3">
        <f>9559</f>
        <v>9559</v>
      </c>
      <c r="F204" s="3">
        <v>6429</v>
      </c>
      <c r="G204" s="3">
        <f>((((B204)+(C204))+(D204))+(E204))+(F204)</f>
        <v>37550</v>
      </c>
    </row>
    <row r="205" spans="1:7" x14ac:dyDescent="0.25">
      <c r="A205" s="5" t="s">
        <v>22</v>
      </c>
      <c r="B205" s="4"/>
      <c r="C205" s="3">
        <f>7000</f>
        <v>7000</v>
      </c>
      <c r="D205" s="3">
        <f>7000</f>
        <v>7000</v>
      </c>
      <c r="E205" s="4"/>
      <c r="F205" s="4">
        <v>0</v>
      </c>
      <c r="G205" s="4">
        <f t="shared" si="3"/>
        <v>14000</v>
      </c>
    </row>
    <row r="206" spans="1:7" x14ac:dyDescent="0.25">
      <c r="A206" s="5" t="s">
        <v>21</v>
      </c>
      <c r="B206" s="4"/>
      <c r="C206" s="3">
        <f>60492</f>
        <v>60492</v>
      </c>
      <c r="D206" s="4"/>
      <c r="E206" s="4"/>
      <c r="F206" s="4">
        <v>0</v>
      </c>
      <c r="G206" s="4">
        <f t="shared" si="3"/>
        <v>60492</v>
      </c>
    </row>
    <row r="207" spans="1:7" x14ac:dyDescent="0.25">
      <c r="A207" s="5" t="s">
        <v>20</v>
      </c>
      <c r="B207" s="6">
        <f>((((((((((((((((((((((((((((((((((((((((((((((((((((((((((((((((((((((((((((((((((((((((((((((((B96)+(B97))+(B98))+(B99))+(B100))+(B101))+(B102))+(B103))+(B104))+(B105))+(B106))+(B107))+(B108))+(B109))+(B110))+(B111))+(B112))+(B113))+(B114))+(B115))+(B116))+(B117))+(B118))+(B119))+(B120))+(B121))+(B122))+(B123))+(B124))+(B125))+(B126))+(B127))+(B128))+(B129))+(B130))+(B131))+(B132))+(B133))+(B134))+(B135))+(B136))+(B137))+(B138))+(B139))+(B140))+(B141))+(B142))+(B143))+(B144))+(B153))+(B154))+(B155))+(B156))+(B157))+(B158))+(B159))+(B160))+(B161))+(B162))+(B163))+(B164))+(B165))+(B166))+(B167))+(B168))+(B169))+(B170))+(B171))+(B172))+(B173))+(B178))+(B179))+(B180))+(B181))+(B182))+(B183))+(B184))+(B185))+(B186))+(B189))+(B190))+(B191))+(B192))+(B193))+(B194))+(B195))+(B196))+(B197))+(B198))+(B199))+(B200))+(B201))+(B202))+(B203))+(B204))+(B205))+(B206)</f>
        <v>869763.69</v>
      </c>
      <c r="C207" s="6">
        <f>((((((((((((((((((((((((((((((((((((((((((((((((((((((((((((((((((((((((((((((((((((((((((((((((C96)+(C97))+(C98))+(C99))+(C100))+(C101))+(C102))+(C103))+(C104))+(C105))+(C106))+(C107))+(C108))+(C109))+(C110))+(C111))+(C112))+(C113))+(C114))+(C115))+(C116))+(C117))+(C118))+(C119))+(C120))+(C121))+(C122))+(C123))+(C124))+(C125))+(C126))+(C127))+(C128))+(C129))+(C130))+(C131))+(C132))+(C133))+(C134))+(C135))+(C136))+(C137))+(C138))+(C139))+(C140))+(C141))+(C142))+(C143))+(C144))+(C153))+(C154))+(C155))+(C156))+(C157))+(C158))+(C159))+(C160))+(C161))+(C162))+(C163))+(C164))+(C165))+(C166))+(C167))+(C168))+(C169))+(C170))+(C171))+(C172))+(C173))+(C178))+(C179))+(C180))+(C181))+(C182))+(C183))+(C184))+(C185))+(C186))+(C189))+(C190))+(C191))+(C192))+(C193))+(C194))+(C195))+(C196))+(C197))+(C198))+(C199))+(C200))+(C201))+(C202))+(C203))+(C204))+(C205))+(C206)</f>
        <v>942757.36</v>
      </c>
      <c r="D207" s="6">
        <f>((((((((((((((((((((((((((((((((((((((((((((((((((((((((((((((((((((((((((((((((((((((((((((((((D96)+(D97))+(D98))+(D99))+(D100))+(D101))+(D102))+(D103))+(D104))+(D105))+(D106))+(D107))+(D108))+(D109))+(D110))+(D111))+(D112))+(D113))+(D114))+(D115))+(D116))+(D117))+(D118))+(D119))+(D120))+(D121))+(D122))+(D123))+(D124))+(D125))+(D126))+(D127))+(D128))+(D129))+(D130))+(D131))+(D132))+(D133))+(D134))+(D135))+(D136))+(D137))+(D138))+(D139))+(D140))+(D141))+(D142))+(D143))+(D144))+(D153))+(D154))+(D155))+(D156))+(D157))+(D158))+(D159))+(D160))+(D161))+(D162))+(D163))+(D164))+(D165))+(D166))+(D167))+(D168))+(D169))+(D170))+(D171))+(D172))+(D173))+(D178))+(D179))+(D180))+(D181))+(D182))+(D183))+(D184))+(D185))+(D186))+(D189))+(D190))+(D191))+(D192))+(D193))+(D194))+(D195))+(D196))+(D197))+(D198))+(D199))+(D200))+(D201))+(D202))+(D203))+(D204))+(D205))+(D206)</f>
        <v>956946.97000000009</v>
      </c>
      <c r="E207" s="6">
        <f>((((((((((((((((((((((((((((((((((((((((((((((((((((((((((((((((((((((((((((((((((((((((((((((((E96)+(E97))+(E98))+(E99))+(E100))+(E101))+(E102))+(E103))+(E104))+(E105))+(E106))+(E107))+(E108))+(E109))+(E110))+(E111))+(E112))+(E113))+(E114))+(E115))+(E116))+(E117))+(E118))+(E119))+(E120))+(E121))+(E122))+(E123))+(E124))+(E125))+(E126))+(E127))+(E128))+(E129))+(E130))+(E131))+(E132))+(E133))+(E134))+(E135))+(E136))+(E137))+(E138))+(E139))+(E140))+(E141))+(E142))+(E143))+(E144))+(E153))+(E154))+(E155))+(E156))+(E157))+(E158))+(E159))+(E160))+(E161))+(E162))+(E163))+(E164))+(E165))+(E166))+(E167))+(E168))+(E169))+(E170))+(E171))+(E172))+(E173))+(E178))+(E179))+(E180))+(E181))+(E182))+(E183))+(E184))+(E185))+(E186))+(E189))+(E190))+(E191))+(E192))+(E193))+(E194))+(E195))+(E196))+(E197))+(E198))+(E199))+(E200))+(E201))+(E202))+(E203))+(E204))+(E205))+(E206)</f>
        <v>1072062.2200000004</v>
      </c>
      <c r="F207" s="6">
        <f>((((((((((((((((((((((((((((((((((((((((((((((((((((((((((((((((((((((((((((((((((((((((((((((((F96)+(F97))+(F98))+(F99))+(F100))+(F101))+(F102))+(F103))+(F104))+(F105))+(F106))+(F107))+(F108))+(F109))+(F110))+(F111))+(F112))+(F113))+(F114))+(F115))+(F116))+(F117))+(F118))+(F119))+(F120))+(F121))+(F122))+(F123))+(F124))+(F125))+(F126))+(F127))+(F128))+(F129))+(F130))+(F131))+(F132))+(F133))+(F134))+(F135))+(F136))+(F137))+(F138))+(F139))+(F140))+(F141))+(F142))+(F143))+(F144))+(F153))+(F154))+(F155))+(F156))+(F157))+(F158))+(F159))+(F160))+(F161))+(F162))+(F163))+(F164))+(F165))+(F166))+(F167))+(F168))+(F169))+(F170))+(F171))+(F172))+(F173))+(F178))+(F179))+(F180))+(F181))+(F182))+(F183))+(F184))+(F185))+(F186))+(F189))+(F190))+(F191))+(F192))+(F193))+(F194))+(F195))+(F196))+(F197))+(F198))+(F199))+(F200))+(F201))+(F202))+(F203))+(F204))+(F205))+(F206)</f>
        <v>1201663.8599999996</v>
      </c>
      <c r="G207" s="6">
        <f>((((B207)+(C207))+(D207))+(E207))+(F207)</f>
        <v>5043194.0999999996</v>
      </c>
    </row>
    <row r="208" spans="1:7" x14ac:dyDescent="0.25">
      <c r="A208" s="5" t="s">
        <v>19</v>
      </c>
      <c r="B208" s="6">
        <f>(B94)-(B207)</f>
        <v>-24029.659999999916</v>
      </c>
      <c r="C208" s="6">
        <f>(C94)-(C207)</f>
        <v>48676.019999999902</v>
      </c>
      <c r="D208" s="6">
        <f>(D94)-(D207)</f>
        <v>18610.599999999744</v>
      </c>
      <c r="E208" s="6">
        <f>(E94)-(E207)</f>
        <v>326697.45999999973</v>
      </c>
      <c r="F208" s="6">
        <f>(F94)-(F207)</f>
        <v>226584.63000000012</v>
      </c>
      <c r="G208" s="6">
        <f>((((B208)+(C208))+(D208))+(E208))+(F208)</f>
        <v>596539.04999999958</v>
      </c>
    </row>
    <row r="209" spans="1:7" x14ac:dyDescent="0.25">
      <c r="A209" s="5" t="s">
        <v>18</v>
      </c>
      <c r="B209" s="6">
        <f>(B208)+(0)</f>
        <v>-24029.659999999916</v>
      </c>
      <c r="C209" s="6">
        <f>(C208)+(0)</f>
        <v>48676.019999999902</v>
      </c>
      <c r="D209" s="6">
        <f>(D208)+(0)</f>
        <v>18610.599999999744</v>
      </c>
      <c r="E209" s="6">
        <f>(E208)+(0)</f>
        <v>326697.45999999973</v>
      </c>
      <c r="F209" s="6">
        <f>(F208)+(0)</f>
        <v>226584.63000000012</v>
      </c>
      <c r="G209" s="6">
        <f>((((B209)+(C209))+(D209))+(E209))+(F209)</f>
        <v>596539.04999999958</v>
      </c>
    </row>
    <row r="210" spans="1:7" x14ac:dyDescent="0.25">
      <c r="A210" s="5"/>
      <c r="B210" s="4"/>
      <c r="C210" s="4"/>
      <c r="D210" s="4"/>
      <c r="E210" s="4"/>
      <c r="F210" s="4"/>
      <c r="G210" s="4"/>
    </row>
    <row r="211" spans="1:7" x14ac:dyDescent="0.25">
      <c r="F211" s="8"/>
    </row>
    <row r="212" spans="1:7" x14ac:dyDescent="0.25">
      <c r="F212" s="4"/>
    </row>
    <row r="213" spans="1:7" x14ac:dyDescent="0.25">
      <c r="A213" s="11"/>
      <c r="B213" s="12"/>
      <c r="C213" s="12"/>
      <c r="D213" s="12"/>
      <c r="E213" s="12"/>
      <c r="F213" s="12"/>
      <c r="G213" s="12"/>
    </row>
  </sheetData>
  <mergeCells count="4">
    <mergeCell ref="A213:G213"/>
    <mergeCell ref="A1:G1"/>
    <mergeCell ref="A2:G2"/>
    <mergeCell ref="A3:G3"/>
  </mergeCells>
  <pageMargins left="0.7" right="0.7" top="0.75" bottom="0.75" header="0.3" footer="0.3"/>
  <pageSetup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C31AC-A1E6-47DA-ACA2-6321A29E2A73}">
  <dimension ref="A1:F78"/>
  <sheetViews>
    <sheetView tabSelected="1" topLeftCell="A64" workbookViewId="0">
      <selection activeCell="F73" sqref="F73"/>
    </sheetView>
  </sheetViews>
  <sheetFormatPr defaultRowHeight="15" x14ac:dyDescent="0.25"/>
  <cols>
    <col min="1" max="1" width="50.7109375" customWidth="1"/>
    <col min="2" max="6" width="12" customWidth="1"/>
  </cols>
  <sheetData>
    <row r="1" spans="1:6" ht="18" x14ac:dyDescent="0.25">
      <c r="A1" s="13" t="s">
        <v>16</v>
      </c>
      <c r="B1" s="12"/>
      <c r="C1" s="12"/>
      <c r="D1" s="12"/>
      <c r="E1" s="12"/>
      <c r="F1" s="12"/>
    </row>
    <row r="2" spans="1:6" ht="18" x14ac:dyDescent="0.25">
      <c r="A2" s="13" t="s">
        <v>299</v>
      </c>
      <c r="B2" s="12"/>
      <c r="C2" s="12"/>
      <c r="D2" s="12"/>
      <c r="E2" s="12"/>
      <c r="F2" s="12"/>
    </row>
    <row r="3" spans="1:6" x14ac:dyDescent="0.25">
      <c r="A3" s="15"/>
      <c r="B3" s="12"/>
      <c r="C3" s="12"/>
      <c r="D3" s="12"/>
      <c r="E3" s="12"/>
      <c r="F3" s="12"/>
    </row>
    <row r="5" spans="1:6" ht="24.75" x14ac:dyDescent="0.25">
      <c r="A5" s="7"/>
      <c r="B5" s="1" t="s">
        <v>227</v>
      </c>
      <c r="C5" s="1" t="s">
        <v>226</v>
      </c>
      <c r="D5" s="1" t="s">
        <v>225</v>
      </c>
      <c r="E5" s="1" t="s">
        <v>224</v>
      </c>
      <c r="F5" s="10" t="s">
        <v>300</v>
      </c>
    </row>
    <row r="6" spans="1:6" x14ac:dyDescent="0.25">
      <c r="A6" s="5" t="s">
        <v>298</v>
      </c>
      <c r="B6" s="4"/>
      <c r="C6" s="4"/>
      <c r="D6" s="4"/>
      <c r="E6" s="4"/>
      <c r="F6" s="4"/>
    </row>
    <row r="7" spans="1:6" x14ac:dyDescent="0.25">
      <c r="A7" s="5" t="s">
        <v>297</v>
      </c>
      <c r="B7" s="4"/>
      <c r="C7" s="4"/>
      <c r="D7" s="4"/>
      <c r="E7" s="4"/>
      <c r="F7" s="4"/>
    </row>
    <row r="8" spans="1:6" x14ac:dyDescent="0.25">
      <c r="A8" s="5" t="s">
        <v>296</v>
      </c>
      <c r="B8" s="4"/>
      <c r="C8" s="4"/>
      <c r="D8" s="4"/>
      <c r="E8" s="4"/>
      <c r="F8" s="4"/>
    </row>
    <row r="9" spans="1:6" x14ac:dyDescent="0.25">
      <c r="A9" s="5" t="s">
        <v>295</v>
      </c>
      <c r="B9" s="3">
        <f>291342.63</f>
        <v>291342.63</v>
      </c>
      <c r="C9" s="3">
        <f>371793.03</f>
        <v>371793.03</v>
      </c>
      <c r="D9" s="3">
        <f>352596.49</f>
        <v>352596.49</v>
      </c>
      <c r="E9" s="3">
        <f>496205.57</f>
        <v>496205.57</v>
      </c>
      <c r="F9" s="3">
        <f>603404.59</f>
        <v>603404.59</v>
      </c>
    </row>
    <row r="10" spans="1:6" x14ac:dyDescent="0.25">
      <c r="A10" s="5" t="s">
        <v>294</v>
      </c>
      <c r="B10" s="3">
        <f>5471.53</f>
        <v>5471.53</v>
      </c>
      <c r="C10" s="3">
        <f>5584.51</f>
        <v>5584.51</v>
      </c>
      <c r="D10" s="3">
        <f>126373.13</f>
        <v>126373.13</v>
      </c>
      <c r="E10" s="3">
        <f>263511.56</f>
        <v>263511.56</v>
      </c>
      <c r="F10" s="3">
        <f>268949.02</f>
        <v>268949.02</v>
      </c>
    </row>
    <row r="11" spans="1:6" x14ac:dyDescent="0.25">
      <c r="A11" s="5" t="s">
        <v>293</v>
      </c>
      <c r="B11" s="3">
        <f>248416.75</f>
        <v>248416.75</v>
      </c>
      <c r="C11" s="3">
        <f>248466.42</f>
        <v>248466.42</v>
      </c>
      <c r="D11" s="3">
        <f>248516.17</f>
        <v>248516.17</v>
      </c>
      <c r="E11" s="3">
        <f>248555.8</f>
        <v>248555.8</v>
      </c>
      <c r="F11" s="3">
        <f>10</f>
        <v>10</v>
      </c>
    </row>
    <row r="12" spans="1:6" x14ac:dyDescent="0.25">
      <c r="A12" s="5" t="s">
        <v>292</v>
      </c>
      <c r="B12" s="4"/>
      <c r="C12" s="3">
        <f>B12</f>
        <v>0</v>
      </c>
      <c r="D12" s="3">
        <f>237849.93</f>
        <v>237849.93</v>
      </c>
      <c r="E12" s="3">
        <f>238302.27</f>
        <v>238302.27</v>
      </c>
      <c r="F12" s="3">
        <f>238859.44</f>
        <v>238859.44</v>
      </c>
    </row>
    <row r="13" spans="1:6" x14ac:dyDescent="0.25">
      <c r="A13" s="5" t="s">
        <v>291</v>
      </c>
      <c r="B13" s="3">
        <f>28626.18</f>
        <v>28626.18</v>
      </c>
      <c r="C13" s="3">
        <f>28641.48</f>
        <v>28641.48</v>
      </c>
      <c r="D13" s="3">
        <f>28652.71</f>
        <v>28652.71</v>
      </c>
      <c r="E13" s="3">
        <f>28645.34</f>
        <v>28645.34</v>
      </c>
      <c r="F13" s="3">
        <f>769396.08</f>
        <v>769396.08</v>
      </c>
    </row>
    <row r="14" spans="1:6" x14ac:dyDescent="0.25">
      <c r="A14" s="5" t="s">
        <v>290</v>
      </c>
      <c r="B14" s="3">
        <f>264979.87</f>
        <v>264979.87</v>
      </c>
      <c r="C14" s="3">
        <f>266440.94</f>
        <v>266440.94</v>
      </c>
      <c r="D14" s="3">
        <f>267621.01</f>
        <v>267621.01</v>
      </c>
      <c r="E14" s="3">
        <f>268155.99</f>
        <v>268155.99</v>
      </c>
      <c r="F14" s="3">
        <f>268627.65</f>
        <v>268627.65000000002</v>
      </c>
    </row>
    <row r="15" spans="1:6" x14ac:dyDescent="0.25">
      <c r="A15" s="5" t="s">
        <v>289</v>
      </c>
      <c r="B15" s="4"/>
      <c r="C15" s="3">
        <f>B15</f>
        <v>0</v>
      </c>
      <c r="D15" s="3">
        <f>250000</f>
        <v>250000</v>
      </c>
      <c r="E15" s="3">
        <f>257068.45</f>
        <v>257068.45</v>
      </c>
      <c r="F15" s="3">
        <f>0</f>
        <v>0</v>
      </c>
    </row>
    <row r="16" spans="1:6" x14ac:dyDescent="0.25">
      <c r="A16" s="5" t="s">
        <v>288</v>
      </c>
      <c r="B16" s="3">
        <f>245519.78</f>
        <v>245519.78</v>
      </c>
      <c r="C16" s="3">
        <f>245936.34</f>
        <v>245936.34</v>
      </c>
      <c r="D16" s="3">
        <f>246318.02</f>
        <v>246318.02</v>
      </c>
      <c r="E16" s="3">
        <f>246442.13</f>
        <v>246442.13</v>
      </c>
      <c r="F16" s="3">
        <f>0</f>
        <v>0</v>
      </c>
    </row>
    <row r="17" spans="1:6" x14ac:dyDescent="0.25">
      <c r="A17" s="5" t="s">
        <v>287</v>
      </c>
      <c r="B17" s="3">
        <f>250603.39</f>
        <v>250603.39</v>
      </c>
      <c r="C17" s="3">
        <f>254948.97</f>
        <v>254948.97</v>
      </c>
      <c r="D17" s="3">
        <f>257749.24</f>
        <v>257749.24</v>
      </c>
      <c r="E17" s="3">
        <f>258226.49</f>
        <v>258226.49</v>
      </c>
      <c r="F17" s="3">
        <f>258544.7</f>
        <v>258544.7</v>
      </c>
    </row>
    <row r="18" spans="1:6" x14ac:dyDescent="0.25">
      <c r="A18" s="5" t="s">
        <v>286</v>
      </c>
      <c r="B18" s="3">
        <f>236724.47</f>
        <v>236724.47</v>
      </c>
      <c r="C18" s="3">
        <f>236745.21</f>
        <v>236745.21</v>
      </c>
      <c r="D18" s="3">
        <f>2.1</f>
        <v>2.1</v>
      </c>
      <c r="E18" s="3">
        <f t="shared" ref="E18:E23" si="0">D18</f>
        <v>2.1</v>
      </c>
      <c r="F18" s="3">
        <v>0</v>
      </c>
    </row>
    <row r="19" spans="1:6" x14ac:dyDescent="0.25">
      <c r="A19" s="5" t="s">
        <v>285</v>
      </c>
      <c r="B19" s="4"/>
      <c r="C19" s="3">
        <f>B19</f>
        <v>0</v>
      </c>
      <c r="D19" s="3">
        <f>C19</f>
        <v>0</v>
      </c>
      <c r="E19" s="3">
        <f t="shared" si="0"/>
        <v>0</v>
      </c>
      <c r="F19" s="3">
        <v>8281.48</v>
      </c>
    </row>
    <row r="20" spans="1:6" x14ac:dyDescent="0.25">
      <c r="A20" s="5" t="s">
        <v>284</v>
      </c>
      <c r="B20" s="3">
        <f>200000</f>
        <v>200000</v>
      </c>
      <c r="C20" s="3">
        <f>B20</f>
        <v>200000</v>
      </c>
      <c r="D20" s="3">
        <f>0</f>
        <v>0</v>
      </c>
      <c r="E20" s="3">
        <f t="shared" si="0"/>
        <v>0</v>
      </c>
      <c r="F20" s="3">
        <v>0</v>
      </c>
    </row>
    <row r="21" spans="1:6" x14ac:dyDescent="0.25">
      <c r="A21" s="5" t="s">
        <v>283</v>
      </c>
      <c r="B21" s="3">
        <f>295</f>
        <v>295</v>
      </c>
      <c r="C21" s="3">
        <f>B21</f>
        <v>295</v>
      </c>
      <c r="D21" s="3">
        <f>C21</f>
        <v>295</v>
      </c>
      <c r="E21" s="3">
        <f t="shared" si="0"/>
        <v>295</v>
      </c>
      <c r="F21" s="3">
        <v>0</v>
      </c>
    </row>
    <row r="22" spans="1:6" x14ac:dyDescent="0.25">
      <c r="A22" s="5" t="s">
        <v>282</v>
      </c>
      <c r="B22" s="4"/>
      <c r="C22" s="3">
        <f>B22</f>
        <v>0</v>
      </c>
      <c r="D22" s="3">
        <f>-12236</f>
        <v>-12236</v>
      </c>
      <c r="E22" s="3">
        <f t="shared" si="0"/>
        <v>-12236</v>
      </c>
      <c r="F22" s="3">
        <v>0</v>
      </c>
    </row>
    <row r="23" spans="1:6" x14ac:dyDescent="0.25">
      <c r="A23" s="5" t="s">
        <v>281</v>
      </c>
      <c r="B23" s="4"/>
      <c r="C23" s="3">
        <f>B23</f>
        <v>0</v>
      </c>
      <c r="D23" s="3">
        <f>12236</f>
        <v>12236</v>
      </c>
      <c r="E23" s="3">
        <f t="shared" si="0"/>
        <v>12236</v>
      </c>
      <c r="F23" s="3">
        <v>0</v>
      </c>
    </row>
    <row r="24" spans="1:6" x14ac:dyDescent="0.25">
      <c r="A24" s="5" t="s">
        <v>280</v>
      </c>
      <c r="B24" s="6">
        <f>((((((((((((((B9)+(B10))+(B11))+(B12))+(B13))+(B14))+(B15))+(B16))+(B17))+(B18))+(B19))+(B20))+(B21))+(B22))+(B23)</f>
        <v>1771979.5999999999</v>
      </c>
      <c r="C24" s="6">
        <f>((((((((((((((C9)+(C10))+(C11))+(C12))+(C13))+(C14))+(C15))+(C16))+(C17))+(C18))+(C19))+(C20))+(C21))+(C22))+(C23)</f>
        <v>1858851.9000000001</v>
      </c>
      <c r="D24" s="6">
        <f>((((((((((((((D9)+(D10))+(D11))+(D12))+(D13))+(D14))+(D15))+(D16))+(D17))+(D18))+(D19))+(D20))+(D21))+(D22))+(D23)</f>
        <v>2015973.8</v>
      </c>
      <c r="E24" s="6">
        <f>((((((((((((((E9)+(E10))+(E11))+(E12))+(E13))+(E14))+(E15))+(E16))+(E17))+(E18))+(E19))+(E20))+(E21))+(E22))+(E23)</f>
        <v>2305410.6999999997</v>
      </c>
      <c r="F24" s="6">
        <f>((((((((((((((F9)+(F10))+(F11))+(F12))+(F13))+(F14))+(F15))+(F16))+(F17))+(F18))+(F19))+(F20))+(F21))+(F22))+(F23)</f>
        <v>2416072.96</v>
      </c>
    </row>
    <row r="25" spans="1:6" x14ac:dyDescent="0.25">
      <c r="A25" s="5" t="s">
        <v>279</v>
      </c>
      <c r="B25" s="4"/>
      <c r="C25" s="4"/>
      <c r="D25" s="4"/>
      <c r="E25" s="4"/>
      <c r="F25" s="4"/>
    </row>
    <row r="26" spans="1:6" x14ac:dyDescent="0.25">
      <c r="A26" s="5" t="s">
        <v>278</v>
      </c>
      <c r="B26" s="3">
        <f>76143.97</f>
        <v>76143.97</v>
      </c>
      <c r="C26" s="3">
        <f>22724.01</f>
        <v>22724.01</v>
      </c>
      <c r="D26" s="3">
        <f>37952.1</f>
        <v>37952.1</v>
      </c>
      <c r="E26" s="3">
        <f>17083.37</f>
        <v>17083.37</v>
      </c>
      <c r="F26" s="3">
        <v>1579.42</v>
      </c>
    </row>
    <row r="27" spans="1:6" x14ac:dyDescent="0.25">
      <c r="A27" s="5" t="s">
        <v>277</v>
      </c>
      <c r="B27" s="3">
        <f>1070000</f>
        <v>1070000</v>
      </c>
      <c r="C27" s="3">
        <f>0</f>
        <v>0</v>
      </c>
      <c r="D27" s="3">
        <f>C27</f>
        <v>0</v>
      </c>
      <c r="E27" s="3">
        <f>D27</f>
        <v>0</v>
      </c>
      <c r="F27" s="3">
        <v>0</v>
      </c>
    </row>
    <row r="28" spans="1:6" x14ac:dyDescent="0.25">
      <c r="A28" s="5" t="s">
        <v>276</v>
      </c>
      <c r="B28" s="3">
        <f>128183.75</f>
        <v>128183.75</v>
      </c>
      <c r="C28" s="3">
        <f>26750</f>
        <v>26750</v>
      </c>
      <c r="D28" s="3">
        <f>C28</f>
        <v>26750</v>
      </c>
      <c r="E28" s="3">
        <f>26188</f>
        <v>26188</v>
      </c>
      <c r="F28" s="3">
        <v>26188</v>
      </c>
    </row>
    <row r="29" spans="1:6" x14ac:dyDescent="0.25">
      <c r="A29" s="5" t="s">
        <v>275</v>
      </c>
      <c r="B29" s="6">
        <f>((B26)+(B27))+(B28)</f>
        <v>1274327.72</v>
      </c>
      <c r="C29" s="6">
        <f>((C26)+(C27))+(C28)</f>
        <v>49474.009999999995</v>
      </c>
      <c r="D29" s="6">
        <f>((D26)+(D27))+(D28)</f>
        <v>64702.1</v>
      </c>
      <c r="E29" s="6">
        <f>((E26)+(E27))+(E28)</f>
        <v>43271.369999999995</v>
      </c>
      <c r="F29" s="6">
        <f>((F26)+(F27))+(F28)</f>
        <v>27767.42</v>
      </c>
    </row>
    <row r="30" spans="1:6" x14ac:dyDescent="0.25">
      <c r="A30" s="5" t="s">
        <v>274</v>
      </c>
      <c r="B30" s="4"/>
      <c r="C30" s="4"/>
      <c r="D30" s="4"/>
      <c r="E30" s="4"/>
      <c r="F30" s="4"/>
    </row>
    <row r="31" spans="1:6" x14ac:dyDescent="0.25">
      <c r="A31" s="5" t="s">
        <v>273</v>
      </c>
      <c r="B31" s="3">
        <f>3080.99</f>
        <v>3080.99</v>
      </c>
      <c r="C31" s="3">
        <f>-2861.68</f>
        <v>-2861.68</v>
      </c>
      <c r="D31" s="3">
        <f>27424.52</f>
        <v>27424.52</v>
      </c>
      <c r="E31" s="3">
        <f>1000</f>
        <v>1000</v>
      </c>
      <c r="F31" s="3">
        <v>300</v>
      </c>
    </row>
    <row r="32" spans="1:6" x14ac:dyDescent="0.25">
      <c r="A32" s="5" t="s">
        <v>272</v>
      </c>
      <c r="B32" s="3">
        <f>3540</f>
        <v>3540</v>
      </c>
      <c r="C32" s="3">
        <f>3591</f>
        <v>3591</v>
      </c>
      <c r="D32" s="3">
        <f>1472.32</f>
        <v>1472.32</v>
      </c>
      <c r="E32" s="3">
        <f>600</f>
        <v>600</v>
      </c>
      <c r="F32" s="3">
        <f>0</f>
        <v>0</v>
      </c>
    </row>
    <row r="33" spans="1:6" x14ac:dyDescent="0.25">
      <c r="A33" s="5" t="s">
        <v>271</v>
      </c>
      <c r="B33" s="4"/>
      <c r="C33" s="3">
        <f>B33</f>
        <v>0</v>
      </c>
      <c r="D33" s="3">
        <f>0</f>
        <v>0</v>
      </c>
      <c r="E33" s="3">
        <f>D33</f>
        <v>0</v>
      </c>
      <c r="F33" s="3">
        <v>-6686.19</v>
      </c>
    </row>
    <row r="34" spans="1:6" x14ac:dyDescent="0.25">
      <c r="A34" s="5" t="s">
        <v>270</v>
      </c>
      <c r="B34" s="6">
        <f>((B31)+(B32))+(B33)</f>
        <v>6620.99</v>
      </c>
      <c r="C34" s="6">
        <f>((C31)+(C32))+(C33)</f>
        <v>729.32000000000016</v>
      </c>
      <c r="D34" s="6">
        <f>((D31)+(D32))+(D33)</f>
        <v>28896.84</v>
      </c>
      <c r="E34" s="6">
        <f>((E31)+(E32))+(E33)</f>
        <v>1600</v>
      </c>
      <c r="F34" s="6">
        <f>((F31)+(F32))+(F33)</f>
        <v>-6386.19</v>
      </c>
    </row>
    <row r="35" spans="1:6" x14ac:dyDescent="0.25">
      <c r="A35" s="5" t="s">
        <v>269</v>
      </c>
      <c r="B35" s="6">
        <f>((B24)+(B29))+(B34)</f>
        <v>3052928.31</v>
      </c>
      <c r="C35" s="6">
        <f>((C24)+(C29))+(C34)</f>
        <v>1909055.2300000002</v>
      </c>
      <c r="D35" s="6">
        <f>((D24)+(D29))+(D34)</f>
        <v>2109572.7400000002</v>
      </c>
      <c r="E35" s="6">
        <f>((E24)+(E29))+(E34)</f>
        <v>2350282.0699999998</v>
      </c>
      <c r="F35" s="6">
        <f>((F24)+(F29))+(F34)</f>
        <v>2437454.19</v>
      </c>
    </row>
    <row r="36" spans="1:6" x14ac:dyDescent="0.25">
      <c r="A36" s="5" t="s">
        <v>268</v>
      </c>
      <c r="B36" s="4"/>
      <c r="C36" s="4"/>
      <c r="D36" s="4"/>
      <c r="E36" s="4"/>
      <c r="F36" s="4"/>
    </row>
    <row r="37" spans="1:6" x14ac:dyDescent="0.25">
      <c r="A37" s="5" t="s">
        <v>267</v>
      </c>
      <c r="B37" s="3">
        <f>67894.72</f>
        <v>67894.720000000001</v>
      </c>
      <c r="C37" s="3">
        <f>75894.72</f>
        <v>75894.720000000001</v>
      </c>
      <c r="D37" s="3">
        <f t="shared" ref="D37:E40" si="1">C37</f>
        <v>75894.720000000001</v>
      </c>
      <c r="E37" s="3">
        <f t="shared" si="1"/>
        <v>75894.720000000001</v>
      </c>
      <c r="F37" s="3">
        <v>82222.720000000001</v>
      </c>
    </row>
    <row r="38" spans="1:6" x14ac:dyDescent="0.25">
      <c r="A38" s="5" t="s">
        <v>266</v>
      </c>
      <c r="B38" s="3">
        <f>0</f>
        <v>0</v>
      </c>
      <c r="C38" s="3">
        <f>B38</f>
        <v>0</v>
      </c>
      <c r="D38" s="3">
        <f t="shared" si="1"/>
        <v>0</v>
      </c>
      <c r="E38" s="3">
        <f t="shared" si="1"/>
        <v>0</v>
      </c>
      <c r="F38" s="3">
        <v>0</v>
      </c>
    </row>
    <row r="39" spans="1:6" x14ac:dyDescent="0.25">
      <c r="A39" s="5" t="s">
        <v>265</v>
      </c>
      <c r="B39" s="3">
        <f>55503.41</f>
        <v>55503.41</v>
      </c>
      <c r="C39" s="3">
        <f>B39</f>
        <v>55503.41</v>
      </c>
      <c r="D39" s="3">
        <f t="shared" si="1"/>
        <v>55503.41</v>
      </c>
      <c r="E39" s="3">
        <f t="shared" si="1"/>
        <v>55503.41</v>
      </c>
      <c r="F39" s="3">
        <v>88433.58</v>
      </c>
    </row>
    <row r="40" spans="1:6" x14ac:dyDescent="0.25">
      <c r="A40" s="5" t="s">
        <v>264</v>
      </c>
      <c r="B40" s="3">
        <f>-102236.62</f>
        <v>-102236.62</v>
      </c>
      <c r="C40" s="3">
        <f>-112016.62</f>
        <v>-112016.62</v>
      </c>
      <c r="D40" s="3">
        <f t="shared" si="1"/>
        <v>-112016.62</v>
      </c>
      <c r="E40" s="3">
        <f t="shared" si="1"/>
        <v>-112016.62</v>
      </c>
      <c r="F40" s="3">
        <v>-112016.62</v>
      </c>
    </row>
    <row r="41" spans="1:6" x14ac:dyDescent="0.25">
      <c r="A41" s="5" t="s">
        <v>263</v>
      </c>
      <c r="B41" s="6">
        <f>(((B37)+(B38))+(B39))+(B40)</f>
        <v>21161.510000000009</v>
      </c>
      <c r="C41" s="6">
        <f>(((C37)+(C38))+(C39))+(C40)</f>
        <v>19381.510000000009</v>
      </c>
      <c r="D41" s="6">
        <f>(((D37)+(D38))+(D39))+(D40)</f>
        <v>19381.510000000009</v>
      </c>
      <c r="E41" s="6">
        <f>(((E37)+(E38))+(E39))+(E40)</f>
        <v>19381.510000000009</v>
      </c>
      <c r="F41" s="6">
        <f>(((F37)+(F38))+(F39))+(F40)</f>
        <v>58639.679999999993</v>
      </c>
    </row>
    <row r="42" spans="1:6" x14ac:dyDescent="0.25">
      <c r="A42" s="5" t="s">
        <v>262</v>
      </c>
      <c r="B42" s="4"/>
      <c r="C42" s="4"/>
      <c r="D42" s="4"/>
      <c r="E42" s="4"/>
      <c r="F42" s="4"/>
    </row>
    <row r="43" spans="1:6" x14ac:dyDescent="0.25">
      <c r="A43" s="5" t="s">
        <v>261</v>
      </c>
      <c r="B43" s="3">
        <f>0</f>
        <v>0</v>
      </c>
      <c r="C43" s="3">
        <f t="shared" ref="C43:E44" si="2">B43</f>
        <v>0</v>
      </c>
      <c r="D43" s="3">
        <f t="shared" si="2"/>
        <v>0</v>
      </c>
      <c r="E43" s="3">
        <f t="shared" si="2"/>
        <v>0</v>
      </c>
      <c r="F43" s="3">
        <v>0</v>
      </c>
    </row>
    <row r="44" spans="1:6" x14ac:dyDescent="0.25">
      <c r="A44" s="5" t="s">
        <v>260</v>
      </c>
      <c r="B44" s="3">
        <f>100</f>
        <v>100</v>
      </c>
      <c r="C44" s="3">
        <f t="shared" si="2"/>
        <v>100</v>
      </c>
      <c r="D44" s="3">
        <f t="shared" si="2"/>
        <v>100</v>
      </c>
      <c r="E44" s="3">
        <f t="shared" si="2"/>
        <v>100</v>
      </c>
      <c r="F44" s="3">
        <v>0</v>
      </c>
    </row>
    <row r="45" spans="1:6" x14ac:dyDescent="0.25">
      <c r="A45" s="5" t="s">
        <v>259</v>
      </c>
      <c r="B45" s="4"/>
      <c r="C45" s="3">
        <f>1070000</f>
        <v>1070000</v>
      </c>
      <c r="D45" s="3">
        <f t="shared" ref="D45:E46" si="3">C45</f>
        <v>1070000</v>
      </c>
      <c r="E45" s="3">
        <f t="shared" si="3"/>
        <v>1070000</v>
      </c>
      <c r="F45" s="3">
        <v>1070000</v>
      </c>
    </row>
    <row r="46" spans="1:6" x14ac:dyDescent="0.25">
      <c r="A46" s="5" t="s">
        <v>258</v>
      </c>
      <c r="B46" s="3">
        <f>26750</f>
        <v>26750</v>
      </c>
      <c r="C46" s="3">
        <f>154933.75</f>
        <v>154933.75</v>
      </c>
      <c r="D46" s="3">
        <f t="shared" si="3"/>
        <v>154933.75</v>
      </c>
      <c r="E46" s="3">
        <f t="shared" si="3"/>
        <v>154933.75</v>
      </c>
      <c r="F46" s="3">
        <v>154933.75</v>
      </c>
    </row>
    <row r="47" spans="1:6" x14ac:dyDescent="0.25">
      <c r="A47" s="5" t="s">
        <v>257</v>
      </c>
      <c r="B47" s="6">
        <f>(((B43)+(B44))+(B45))+(B46)</f>
        <v>26850</v>
      </c>
      <c r="C47" s="6">
        <f>(((C43)+(C44))+(C45))+(C46)</f>
        <v>1225033.75</v>
      </c>
      <c r="D47" s="6">
        <f>(((D43)+(D44))+(D45))+(D46)</f>
        <v>1225033.75</v>
      </c>
      <c r="E47" s="6">
        <f>(((E43)+(E44))+(E45))+(E46)</f>
        <v>1225033.75</v>
      </c>
      <c r="F47" s="6">
        <f>(((F43)+(F44))+(F45))+(F46)</f>
        <v>1224933.75</v>
      </c>
    </row>
    <row r="48" spans="1:6" x14ac:dyDescent="0.25">
      <c r="A48" s="5" t="s">
        <v>256</v>
      </c>
      <c r="B48" s="6">
        <f>((B35)+(B41))+(B47)</f>
        <v>3100939.8200000003</v>
      </c>
      <c r="C48" s="6">
        <f>((C35)+(C41))+(C47)</f>
        <v>3153470.49</v>
      </c>
      <c r="D48" s="6">
        <f>((D35)+(D41))+(D47)</f>
        <v>3353988</v>
      </c>
      <c r="E48" s="6">
        <f>((E35)+(E41))+(E47)</f>
        <v>3594697.33</v>
      </c>
      <c r="F48" s="6">
        <f>((F35)+(F41))+(F47)</f>
        <v>3721027.62</v>
      </c>
    </row>
    <row r="49" spans="1:6" x14ac:dyDescent="0.25">
      <c r="A49" s="5" t="s">
        <v>255</v>
      </c>
      <c r="B49" s="4"/>
      <c r="C49" s="4"/>
      <c r="D49" s="4"/>
      <c r="E49" s="4"/>
      <c r="F49" s="4"/>
    </row>
    <row r="50" spans="1:6" x14ac:dyDescent="0.25">
      <c r="A50" s="5" t="s">
        <v>254</v>
      </c>
      <c r="B50" s="4"/>
      <c r="C50" s="4"/>
      <c r="D50" s="4"/>
      <c r="E50" s="4"/>
      <c r="F50" s="4">
        <v>0</v>
      </c>
    </row>
    <row r="51" spans="1:6" x14ac:dyDescent="0.25">
      <c r="A51" s="5" t="s">
        <v>253</v>
      </c>
      <c r="B51" s="4"/>
      <c r="C51" s="4"/>
      <c r="D51" s="4"/>
      <c r="E51" s="4"/>
      <c r="F51" s="4"/>
    </row>
    <row r="52" spans="1:6" x14ac:dyDescent="0.25">
      <c r="A52" s="5" t="s">
        <v>252</v>
      </c>
      <c r="B52" s="4"/>
      <c r="C52" s="4"/>
      <c r="D52" s="4"/>
      <c r="E52" s="4"/>
      <c r="F52" s="4"/>
    </row>
    <row r="53" spans="1:6" x14ac:dyDescent="0.25">
      <c r="A53" s="5" t="s">
        <v>251</v>
      </c>
      <c r="B53" s="3">
        <f>41962.21</f>
        <v>41962.21</v>
      </c>
      <c r="C53" s="3">
        <f>24646.86</f>
        <v>24646.86</v>
      </c>
      <c r="D53" s="3">
        <f>14264.26</f>
        <v>14264.26</v>
      </c>
      <c r="E53" s="3">
        <f>12768.77</f>
        <v>12768.77</v>
      </c>
      <c r="F53" s="3">
        <v>44616.87</v>
      </c>
    </row>
    <row r="54" spans="1:6" x14ac:dyDescent="0.25">
      <c r="A54" s="5" t="s">
        <v>250</v>
      </c>
      <c r="B54" s="6">
        <f>B53</f>
        <v>41962.21</v>
      </c>
      <c r="C54" s="6">
        <f>C53</f>
        <v>24646.86</v>
      </c>
      <c r="D54" s="6">
        <f>D53</f>
        <v>14264.26</v>
      </c>
      <c r="E54" s="6">
        <f>E53</f>
        <v>12768.77</v>
      </c>
      <c r="F54" s="6">
        <f>F53</f>
        <v>44616.87</v>
      </c>
    </row>
    <row r="55" spans="1:6" x14ac:dyDescent="0.25">
      <c r="A55" s="5" t="s">
        <v>249</v>
      </c>
      <c r="B55" s="4"/>
      <c r="C55" s="4"/>
      <c r="D55" s="4"/>
      <c r="E55" s="4"/>
      <c r="F55" s="4"/>
    </row>
    <row r="56" spans="1:6" x14ac:dyDescent="0.25">
      <c r="A56" s="5" t="s">
        <v>248</v>
      </c>
      <c r="B56" s="3">
        <f>2203</f>
        <v>2203</v>
      </c>
      <c r="C56" s="3">
        <f>6690.42</f>
        <v>6690.42</v>
      </c>
      <c r="D56" s="3">
        <f>8392.42</f>
        <v>8392.42</v>
      </c>
      <c r="E56" s="3">
        <f>11136.37</f>
        <v>11136.37</v>
      </c>
      <c r="F56" s="3">
        <v>12831.37</v>
      </c>
    </row>
    <row r="57" spans="1:6" x14ac:dyDescent="0.25">
      <c r="A57" s="5" t="s">
        <v>247</v>
      </c>
      <c r="B57" s="3">
        <f>43908.85</f>
        <v>43908.85</v>
      </c>
      <c r="C57" s="3">
        <f>47328.43</f>
        <v>47328.43</v>
      </c>
      <c r="D57" s="3">
        <f>68785.94</f>
        <v>68785.94</v>
      </c>
      <c r="E57" s="3">
        <f>17611.35</f>
        <v>17611.349999999999</v>
      </c>
      <c r="F57" s="3">
        <v>13240.58</v>
      </c>
    </row>
    <row r="58" spans="1:6" x14ac:dyDescent="0.25">
      <c r="A58" s="5" t="s">
        <v>246</v>
      </c>
      <c r="B58" s="4"/>
      <c r="C58" s="3">
        <f>1420</f>
        <v>1420</v>
      </c>
      <c r="D58" s="3">
        <f>73850</f>
        <v>73850</v>
      </c>
      <c r="E58" s="3">
        <f>12000</f>
        <v>12000</v>
      </c>
      <c r="F58" s="3">
        <v>12000</v>
      </c>
    </row>
    <row r="59" spans="1:6" x14ac:dyDescent="0.25">
      <c r="A59" s="5" t="s">
        <v>245</v>
      </c>
      <c r="B59" s="3">
        <f>12240</f>
        <v>12240</v>
      </c>
      <c r="C59" s="3">
        <f>22250</f>
        <v>22250</v>
      </c>
      <c r="D59" s="3">
        <f>8000</f>
        <v>8000</v>
      </c>
      <c r="E59" s="3">
        <f>9100</f>
        <v>9100</v>
      </c>
      <c r="F59" s="3">
        <v>0</v>
      </c>
    </row>
    <row r="60" spans="1:6" x14ac:dyDescent="0.25">
      <c r="A60" s="5" t="s">
        <v>244</v>
      </c>
      <c r="B60" s="3">
        <f>1350</f>
        <v>1350</v>
      </c>
      <c r="C60" s="3">
        <f>4050</f>
        <v>4050</v>
      </c>
      <c r="D60" s="3">
        <f>0</f>
        <v>0</v>
      </c>
      <c r="E60" s="3">
        <f>8500</f>
        <v>8500</v>
      </c>
      <c r="F60" s="3">
        <v>3500</v>
      </c>
    </row>
    <row r="61" spans="1:6" x14ac:dyDescent="0.25">
      <c r="A61" s="5" t="s">
        <v>243</v>
      </c>
      <c r="B61" s="3">
        <f>-111</f>
        <v>-111</v>
      </c>
      <c r="C61" s="3">
        <f>B61</f>
        <v>-111</v>
      </c>
      <c r="D61" s="3">
        <f>C61</f>
        <v>-111</v>
      </c>
      <c r="E61" s="3">
        <f>0</f>
        <v>0</v>
      </c>
      <c r="F61" s="3">
        <v>0</v>
      </c>
    </row>
    <row r="62" spans="1:6" x14ac:dyDescent="0.25">
      <c r="A62" s="5" t="s">
        <v>242</v>
      </c>
      <c r="B62" s="4"/>
      <c r="C62" s="3">
        <f>B62</f>
        <v>0</v>
      </c>
      <c r="D62" s="3">
        <f>C62</f>
        <v>0</v>
      </c>
      <c r="E62" s="3">
        <f>D62</f>
        <v>0</v>
      </c>
      <c r="F62" s="3">
        <v>6593.69</v>
      </c>
    </row>
    <row r="63" spans="1:6" x14ac:dyDescent="0.25">
      <c r="A63" s="5" t="s">
        <v>241</v>
      </c>
      <c r="B63" s="6">
        <f>((((((B56)+(B57))+(B58))+(B59))+(B60))+(B61))+(B62)</f>
        <v>59590.85</v>
      </c>
      <c r="C63" s="6">
        <f>((((((C56)+(C57))+(C58))+(C59))+(C60))+(C61))+(C62)</f>
        <v>81627.850000000006</v>
      </c>
      <c r="D63" s="6">
        <f>((((((D56)+(D57))+(D58))+(D59))+(D60))+(D61))+(D62)</f>
        <v>158917.35999999999</v>
      </c>
      <c r="E63" s="6">
        <f>((((((E56)+(E57))+(E58))+(E59))+(E60))+(E61))+(E62)</f>
        <v>58347.72</v>
      </c>
      <c r="F63" s="6">
        <f>((((((F56)+(F57))+(F58))+(F59))+(F60))+(F61))+(F62)</f>
        <v>48165.64</v>
      </c>
    </row>
    <row r="64" spans="1:6" x14ac:dyDescent="0.25">
      <c r="A64" s="5" t="s">
        <v>240</v>
      </c>
      <c r="B64" s="6">
        <f>(B54)+(B63)</f>
        <v>101553.06</v>
      </c>
      <c r="C64" s="6">
        <f>(C54)+(C63)</f>
        <v>106274.71</v>
      </c>
      <c r="D64" s="6">
        <f>(D54)+(D63)</f>
        <v>173181.62</v>
      </c>
      <c r="E64" s="6">
        <f>(E54)+(E63)</f>
        <v>71116.490000000005</v>
      </c>
      <c r="F64" s="6">
        <f>(F54)+(F63)</f>
        <v>92782.510000000009</v>
      </c>
    </row>
    <row r="65" spans="1:6" x14ac:dyDescent="0.25">
      <c r="A65" s="5" t="s">
        <v>239</v>
      </c>
      <c r="B65" s="4"/>
      <c r="C65" s="4"/>
      <c r="D65" s="4"/>
      <c r="E65" s="4"/>
      <c r="F65" s="4"/>
    </row>
    <row r="66" spans="1:6" x14ac:dyDescent="0.25">
      <c r="A66" s="5" t="s">
        <v>238</v>
      </c>
      <c r="B66" s="4"/>
      <c r="C66" s="3">
        <f>B66</f>
        <v>0</v>
      </c>
      <c r="D66" s="3">
        <f>115000</f>
        <v>115000</v>
      </c>
      <c r="E66" s="3">
        <f>131077</f>
        <v>131077</v>
      </c>
      <c r="F66" s="3">
        <v>0</v>
      </c>
    </row>
    <row r="67" spans="1:6" x14ac:dyDescent="0.25">
      <c r="A67" s="5" t="s">
        <v>237</v>
      </c>
      <c r="B67" s="6">
        <f>B66</f>
        <v>0</v>
      </c>
      <c r="C67" s="6">
        <f>C66</f>
        <v>0</v>
      </c>
      <c r="D67" s="6">
        <f>D66</f>
        <v>115000</v>
      </c>
      <c r="E67" s="6">
        <f>E66</f>
        <v>131077</v>
      </c>
      <c r="F67" s="6">
        <f>(F61)+(F66)</f>
        <v>0</v>
      </c>
    </row>
    <row r="68" spans="1:6" x14ac:dyDescent="0.25">
      <c r="A68" s="5" t="s">
        <v>236</v>
      </c>
      <c r="B68" s="6">
        <f>(B64)+(B67)</f>
        <v>101553.06</v>
      </c>
      <c r="C68" s="6">
        <f>(C64)+(C67)</f>
        <v>106274.71</v>
      </c>
      <c r="D68" s="6">
        <f>(D64)+(D67)</f>
        <v>288181.62</v>
      </c>
      <c r="E68" s="6">
        <f>(E64)+(E67)</f>
        <v>202193.49</v>
      </c>
      <c r="F68" s="6">
        <f>(F64)+(F67)</f>
        <v>92782.510000000009</v>
      </c>
    </row>
    <row r="69" spans="1:6" x14ac:dyDescent="0.25">
      <c r="A69" s="5" t="s">
        <v>235</v>
      </c>
      <c r="B69" s="4"/>
      <c r="C69" s="4"/>
      <c r="D69" s="4"/>
      <c r="E69" s="4"/>
      <c r="F69" s="4"/>
    </row>
    <row r="70" spans="1:6" x14ac:dyDescent="0.25">
      <c r="A70" s="5" t="s">
        <v>234</v>
      </c>
      <c r="B70" s="3">
        <f>475363.1</f>
        <v>475363.1</v>
      </c>
      <c r="C70" s="3">
        <f>B70</f>
        <v>475363.1</v>
      </c>
      <c r="D70" s="3">
        <f>475363.1</f>
        <v>475363.1</v>
      </c>
      <c r="E70" s="3">
        <f>D70</f>
        <v>475363.1</v>
      </c>
      <c r="F70" s="3">
        <f>475363.1</f>
        <v>475363.1</v>
      </c>
    </row>
    <row r="71" spans="1:6" x14ac:dyDescent="0.25">
      <c r="A71" s="5" t="s">
        <v>233</v>
      </c>
      <c r="B71" s="3">
        <f>2548053.32</f>
        <v>2548053.3199999998</v>
      </c>
      <c r="C71" s="3">
        <f>2523156.66</f>
        <v>2523156.66</v>
      </c>
      <c r="D71" s="3">
        <f>(C71)+(C72)</f>
        <v>2571832.6800000002</v>
      </c>
      <c r="E71" s="3">
        <f>(D71)+(D72)</f>
        <v>2590443.2800000003</v>
      </c>
      <c r="F71" s="3">
        <f>(E71)+(E72)</f>
        <v>2917140.74</v>
      </c>
    </row>
    <row r="72" spans="1:6" x14ac:dyDescent="0.25">
      <c r="A72" s="5" t="s">
        <v>232</v>
      </c>
      <c r="B72" s="3">
        <f>-24029.66</f>
        <v>-24029.66</v>
      </c>
      <c r="C72" s="3">
        <f>48676.02</f>
        <v>48676.02</v>
      </c>
      <c r="D72" s="3">
        <f>18610.6</f>
        <v>18610.599999999999</v>
      </c>
      <c r="E72" s="3">
        <f>326697.46</f>
        <v>326697.46000000002</v>
      </c>
      <c r="F72" s="3">
        <v>226584.23</v>
      </c>
    </row>
    <row r="73" spans="1:6" x14ac:dyDescent="0.25">
      <c r="A73" s="5" t="s">
        <v>231</v>
      </c>
      <c r="B73" s="6">
        <f>((B70)+(B71))+(B72)</f>
        <v>2999386.76</v>
      </c>
      <c r="C73" s="6">
        <f>((C70)+(C71))+(C72)</f>
        <v>3047195.7800000003</v>
      </c>
      <c r="D73" s="6">
        <f>((D70)+(D71))+(D72)</f>
        <v>3065806.3800000004</v>
      </c>
      <c r="E73" s="6">
        <f>((E70)+(E71))+(E72)</f>
        <v>3392503.8400000003</v>
      </c>
      <c r="F73" s="6">
        <f>((F70)+(F71))+(F72)</f>
        <v>3619088.0700000003</v>
      </c>
    </row>
    <row r="74" spans="1:6" x14ac:dyDescent="0.25">
      <c r="A74" s="5" t="s">
        <v>230</v>
      </c>
      <c r="B74" s="6">
        <f>(B68)+(B73)</f>
        <v>3100939.82</v>
      </c>
      <c r="C74" s="6">
        <f>(C68)+(C73)</f>
        <v>3153470.49</v>
      </c>
      <c r="D74" s="6">
        <f>(D68)+(D73)</f>
        <v>3353988.0000000005</v>
      </c>
      <c r="E74" s="6">
        <f>(E68)+(E73)</f>
        <v>3594697.33</v>
      </c>
      <c r="F74" s="6">
        <f>(F68)+(F73)</f>
        <v>3711870.58</v>
      </c>
    </row>
    <row r="75" spans="1:6" x14ac:dyDescent="0.25">
      <c r="A75" s="5"/>
      <c r="B75" s="4"/>
      <c r="C75" s="4"/>
      <c r="D75" s="4"/>
      <c r="E75" s="4"/>
      <c r="F75" s="4"/>
    </row>
    <row r="78" spans="1:6" x14ac:dyDescent="0.25">
      <c r="A78" s="11"/>
      <c r="B78" s="12"/>
      <c r="C78" s="12"/>
      <c r="D78" s="12"/>
      <c r="E78" s="12"/>
      <c r="F78" s="12"/>
    </row>
  </sheetData>
  <mergeCells count="4">
    <mergeCell ref="A78:F78"/>
    <mergeCell ref="A1:F1"/>
    <mergeCell ref="A2:F2"/>
    <mergeCell ref="A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Bank accounts</vt:lpstr>
      <vt:lpstr>Statement of Activity</vt:lpstr>
      <vt:lpstr>Statement of Financial Position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Delia Barnett</cp:lastModifiedBy>
  <cp:lastPrinted>2022-07-25T19:07:02Z</cp:lastPrinted>
  <dcterms:created xsi:type="dcterms:W3CDTF">2022-06-06T14:36:23Z</dcterms:created>
  <dcterms:modified xsi:type="dcterms:W3CDTF">2022-07-25T20:04:23Z</dcterms:modified>
</cp:coreProperties>
</file>